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тя\Desktop\Отчеты финансовый\"/>
    </mc:Choice>
  </mc:AlternateContent>
  <bookViews>
    <workbookView xWindow="360" yWindow="15" windowWidth="11340" windowHeight="67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12" i="1" l="1"/>
  <c r="S12" i="1"/>
  <c r="W12" i="1"/>
  <c r="P13" i="1"/>
  <c r="S13" i="1"/>
  <c r="W13" i="1"/>
  <c r="P14" i="1"/>
  <c r="S14" i="1"/>
  <c r="W14" i="1"/>
  <c r="P15" i="1"/>
  <c r="S15" i="1"/>
  <c r="W15" i="1"/>
  <c r="P16" i="1"/>
  <c r="S16" i="1"/>
  <c r="P17" i="1"/>
  <c r="S17" i="1"/>
  <c r="W17" i="1"/>
  <c r="P18" i="1"/>
  <c r="S18" i="1"/>
  <c r="P19" i="1"/>
  <c r="S19" i="1"/>
  <c r="P20" i="1"/>
  <c r="S20" i="1"/>
  <c r="P21" i="1"/>
  <c r="S21" i="1"/>
  <c r="W21" i="1"/>
  <c r="P22" i="1"/>
  <c r="S22" i="1"/>
  <c r="W22" i="1"/>
  <c r="P23" i="1"/>
  <c r="S23" i="1"/>
  <c r="W23" i="1"/>
  <c r="P24" i="1"/>
  <c r="S24" i="1"/>
  <c r="W24" i="1"/>
  <c r="S25" i="1"/>
  <c r="P26" i="1"/>
  <c r="S26" i="1"/>
  <c r="P27" i="1"/>
  <c r="S27" i="1"/>
  <c r="P28" i="1"/>
  <c r="S28" i="1"/>
  <c r="S29" i="1"/>
  <c r="S30" i="1"/>
  <c r="P31" i="1"/>
  <c r="S31" i="1"/>
  <c r="W31" i="1"/>
  <c r="P32" i="1"/>
  <c r="S32" i="1"/>
  <c r="W32" i="1"/>
  <c r="P33" i="1"/>
  <c r="S33" i="1"/>
  <c r="W33" i="1"/>
  <c r="P34" i="1"/>
  <c r="S34" i="1"/>
  <c r="W34" i="1"/>
  <c r="S35" i="1"/>
  <c r="P40" i="1"/>
  <c r="S40" i="1"/>
  <c r="W40" i="1"/>
  <c r="P41" i="1"/>
  <c r="S41" i="1"/>
  <c r="W41" i="1"/>
  <c r="P42" i="1"/>
  <c r="S42" i="1"/>
  <c r="W42" i="1"/>
  <c r="P43" i="1"/>
  <c r="S43" i="1"/>
  <c r="W43" i="1"/>
  <c r="P44" i="1"/>
  <c r="W44" i="1"/>
  <c r="P45" i="1"/>
  <c r="S45" i="1"/>
  <c r="W45" i="1"/>
  <c r="P46" i="1"/>
  <c r="S46" i="1"/>
  <c r="W46" i="1"/>
  <c r="P47" i="1"/>
  <c r="P48" i="1"/>
  <c r="S48" i="1"/>
  <c r="W48" i="1"/>
  <c r="P49" i="1"/>
  <c r="S49" i="1"/>
  <c r="W49" i="1"/>
  <c r="P50" i="1"/>
  <c r="S50" i="1"/>
  <c r="W50" i="1"/>
  <c r="P51" i="1"/>
  <c r="W51" i="1"/>
  <c r="P52" i="1"/>
  <c r="S52" i="1"/>
  <c r="W52" i="1"/>
  <c r="P53" i="1"/>
  <c r="W53" i="1"/>
  <c r="P54" i="1"/>
  <c r="W54" i="1"/>
  <c r="P55" i="1"/>
  <c r="S55" i="1"/>
  <c r="W55" i="1"/>
  <c r="P56" i="1"/>
  <c r="S56" i="1"/>
  <c r="W56" i="1"/>
  <c r="P57" i="1"/>
  <c r="S57" i="1"/>
  <c r="W57" i="1"/>
  <c r="P58" i="1"/>
  <c r="S58" i="1"/>
  <c r="W58" i="1"/>
  <c r="P59" i="1"/>
  <c r="S59" i="1"/>
  <c r="W59" i="1"/>
  <c r="P60" i="1"/>
  <c r="S60" i="1"/>
  <c r="W60" i="1"/>
  <c r="P61" i="1"/>
  <c r="S61" i="1"/>
  <c r="W61" i="1"/>
  <c r="P62" i="1"/>
  <c r="W62" i="1"/>
  <c r="P63" i="1"/>
  <c r="P64" i="1"/>
  <c r="S64" i="1"/>
  <c r="W64" i="1"/>
  <c r="P65" i="1"/>
  <c r="W65" i="1"/>
  <c r="P66" i="1"/>
  <c r="S66" i="1"/>
  <c r="W66" i="1"/>
  <c r="P67" i="1"/>
  <c r="W67" i="1"/>
  <c r="P68" i="1"/>
  <c r="W68" i="1"/>
  <c r="P69" i="1"/>
  <c r="W69" i="1"/>
  <c r="P70" i="1"/>
  <c r="W70" i="1"/>
  <c r="P71" i="1"/>
  <c r="S71" i="1"/>
  <c r="W71" i="1"/>
  <c r="P72" i="1"/>
  <c r="S72" i="1"/>
  <c r="W72" i="1"/>
  <c r="P73" i="1"/>
  <c r="S73" i="1"/>
  <c r="W73" i="1"/>
  <c r="P74" i="1"/>
  <c r="W74" i="1"/>
  <c r="P75" i="1"/>
  <c r="S75" i="1"/>
  <c r="W75" i="1"/>
  <c r="P76" i="1"/>
  <c r="S76" i="1"/>
  <c r="W76" i="1"/>
  <c r="P77" i="1"/>
  <c r="S77" i="1"/>
  <c r="W77" i="1"/>
  <c r="P78" i="1"/>
  <c r="W78" i="1"/>
  <c r="P79" i="1"/>
  <c r="S79" i="1"/>
  <c r="W79" i="1"/>
  <c r="P80" i="1"/>
  <c r="S80" i="1"/>
  <c r="W80" i="1"/>
  <c r="P81" i="1"/>
  <c r="W81" i="1"/>
  <c r="P82" i="1"/>
  <c r="S82" i="1"/>
  <c r="W82" i="1"/>
  <c r="P83" i="1"/>
  <c r="S83" i="1"/>
  <c r="W83" i="1"/>
  <c r="P84" i="1"/>
  <c r="S84" i="1"/>
  <c r="W84" i="1"/>
  <c r="P85" i="1"/>
  <c r="S85" i="1"/>
  <c r="W85" i="1"/>
  <c r="P86" i="1"/>
  <c r="S86" i="1"/>
  <c r="W86" i="1"/>
  <c r="P87" i="1"/>
  <c r="S87" i="1"/>
  <c r="W87" i="1"/>
  <c r="P88" i="1"/>
  <c r="S88" i="1"/>
  <c r="W88" i="1"/>
  <c r="P89" i="1"/>
  <c r="S89" i="1"/>
  <c r="W89" i="1"/>
  <c r="P90" i="1"/>
  <c r="S90" i="1"/>
  <c r="W90" i="1"/>
  <c r="P91" i="1"/>
  <c r="W91" i="1"/>
  <c r="P92" i="1"/>
  <c r="W92" i="1"/>
  <c r="P93" i="1"/>
  <c r="W93" i="1"/>
  <c r="P94" i="1"/>
  <c r="S94" i="1"/>
  <c r="W94" i="1"/>
  <c r="P95" i="1"/>
  <c r="S95" i="1"/>
  <c r="W95" i="1"/>
  <c r="P96" i="1"/>
  <c r="S96" i="1"/>
  <c r="W96" i="1"/>
  <c r="P97" i="1"/>
  <c r="P98" i="1"/>
  <c r="P99" i="1"/>
  <c r="S99" i="1"/>
  <c r="W99" i="1"/>
  <c r="P100" i="1"/>
  <c r="S100" i="1"/>
  <c r="W100" i="1"/>
  <c r="P101" i="1"/>
  <c r="S101" i="1"/>
  <c r="W101" i="1"/>
  <c r="P102" i="1"/>
  <c r="W102" i="1"/>
  <c r="P103" i="1"/>
  <c r="S103" i="1"/>
  <c r="P104" i="1"/>
  <c r="P105" i="1"/>
  <c r="S105" i="1"/>
  <c r="W105" i="1"/>
  <c r="P106" i="1"/>
  <c r="W106" i="1"/>
  <c r="P107" i="1"/>
  <c r="S107" i="1"/>
  <c r="W107" i="1"/>
  <c r="P108" i="1"/>
  <c r="W108" i="1"/>
  <c r="P109" i="1"/>
  <c r="W109" i="1"/>
  <c r="P110" i="1"/>
  <c r="S110" i="1"/>
  <c r="P115" i="1"/>
  <c r="S115" i="1"/>
  <c r="P121" i="1"/>
  <c r="S121" i="1"/>
  <c r="W121" i="1"/>
  <c r="P122" i="1"/>
  <c r="S122" i="1"/>
  <c r="P123" i="1"/>
  <c r="S123" i="1"/>
</calcChain>
</file>

<file path=xl/sharedStrings.xml><?xml version="1.0" encoding="utf-8"?>
<sst xmlns="http://schemas.openxmlformats.org/spreadsheetml/2006/main" count="474" uniqueCount="202">
  <si>
    <t>ОТЧЕТ ОБ ИСПОЛНЕНИИ БЮДЖЕТА</t>
  </si>
  <si>
    <t>КОДЫ</t>
  </si>
  <si>
    <t xml:space="preserve">Форма по ОКУД </t>
  </si>
  <si>
    <t>0503117</t>
  </si>
  <si>
    <t>на 1 августа 2018 г.</t>
  </si>
  <si>
    <t xml:space="preserve">Дата </t>
  </si>
  <si>
    <t>Наименование финансового органа</t>
  </si>
  <si>
    <t>Администрация Челбасского сельского поселения Каневского 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</si>
  <si>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</si>
  <si>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</si>
  <si>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</si>
  <si>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</si>
  <si>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Администрация Челбасского сельского поселения Каневского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</si>
  <si>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</si>
  <si>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</si>
  <si>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</si>
  <si>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</si>
  <si>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</si>
  <si>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</si>
  <si>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</si>
  <si>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</si>
  <si>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</si>
  <si>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</si>
  <si>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</si>
  <si>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</si>
  <si>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</si>
  <si>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</si>
  <si>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</si>
  <si>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</si>
  <si>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</si>
  <si>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</si>
  <si>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</si>
  <si>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</si>
  <si>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</si>
  <si>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</si>
  <si>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</si>
  <si>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</si>
  <si>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</si>
  <si>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</si>
  <si>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</si>
  <si>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</si>
  <si>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</si>
  <si>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</si>
  <si>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</si>
  <si>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</si>
  <si>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</si>
  <si>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</si>
  <si>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</si>
  <si>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</si>
  <si>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</si>
  <si>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</si>
  <si>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</si>
  <si>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</si>
  <si>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</si>
  <si>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</si>
  <si>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</si>
  <si>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</si>
  <si>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</si>
  <si>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</si>
  <si>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</si>
  <si>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</si>
  <si>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</si>
  <si>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816 11633050 10 0000 140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</si>
  <si>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</si>
  <si>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</si>
  <si>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</si>
  <si>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992 11107015 10 0000 120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</si>
  <si>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</si>
  <si>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992 11402053 10 0000 440</t>
  </si>
  <si>
    <t>992 11633050 10 0000 140</t>
  </si>
  <si>
    <t>Невыясненные поступления, зачисляемые в бюджеты сельских поселений</t>
  </si>
  <si>
    <t>992 11701050 10 0000 180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</si>
  <si>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</si>
  <si>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</si>
  <si>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</si>
  <si>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</si>
  <si>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</si>
  <si>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</si>
  <si>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</si>
  <si>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992 20240014 10 0000 151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</si>
  <si>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</si>
  <si>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</si>
  <si>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</si>
  <si>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</si>
  <si>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</si>
  <si>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</si>
  <si>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</si>
  <si>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992 0102 5110000190 121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</si>
  <si>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</si>
  <si>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992 0102 5110000190 129</t>
  </si>
  <si>
    <t>992 0104 5210000190 121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</si>
  <si>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</si>
  <si>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</si>
  <si>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992 0104 5210000190 129</t>
  </si>
  <si>
    <t>Прочая закупка товаров, работ и услуг</t>
  </si>
  <si>
    <t>992 0104 5210000190 244</t>
  </si>
  <si>
    <t>Уплата налога на имущество организаций и земельного налога</t>
  </si>
  <si>
    <t>992 0104 5210000190 851</t>
  </si>
  <si>
    <t>Уплата прочих налогов, сборов</t>
  </si>
  <si>
    <t>992 0104 5210000190 852</t>
  </si>
  <si>
    <t>Уплата иных платежей</t>
  </si>
  <si>
    <t>992 0104 5210000190 853</t>
  </si>
  <si>
    <t>Иные межбюджетные трансферты</t>
  </si>
  <si>
    <t>992 0106 5510020010 540</t>
  </si>
  <si>
    <t>Резервные средства</t>
  </si>
  <si>
    <t>992 0111 5220010010 870</t>
  </si>
  <si>
    <t>Иные выплаты населению</t>
  </si>
  <si>
    <t>992 0113 0100110030 360</t>
  </si>
  <si>
    <t>992 0113 0100210020 244</t>
  </si>
  <si>
    <t>992 0113 0100310040 244</t>
  </si>
  <si>
    <t>992 0113 0100410070 244</t>
  </si>
  <si>
    <t>992 0113 0100410070 851</t>
  </si>
  <si>
    <t>992 0113 0100410070 852</t>
  </si>
  <si>
    <t>992 0113 0100410070 853</t>
  </si>
  <si>
    <t>992 0113 0100410350 244</t>
  </si>
  <si>
    <t>992 0113 0200110360 244</t>
  </si>
  <si>
    <t>992 0113 0200210050 244</t>
  </si>
  <si>
    <t>Исполнение судебных актов Российской Федерации и мировых соглашений по возмещению причиненного вреда</t>
  </si>
  <si>
    <t>992 0113 5230010240 831</t>
  </si>
  <si>
    <t>Иные закупки товаров, работ и услуг для обеспечения государственных (муниципальных) нужд</t>
  </si>
  <si>
    <t>992 0113 5240060190 240</t>
  </si>
  <si>
    <t>992 0113 5240060190 244</t>
  </si>
  <si>
    <t>992 0113 5310010020 244</t>
  </si>
  <si>
    <t>Фонд оплаты труда учреждений</t>
  </si>
  <si>
    <t>992 0113 5710000590 111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</si>
  <si>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</si>
  <si>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992 0113 5710000590 119</t>
  </si>
  <si>
    <t>992 0113 5710000590 244</t>
  </si>
  <si>
    <t>992 0113 5710000590 852</t>
  </si>
  <si>
    <t>992 0113 5710000590 853</t>
  </si>
  <si>
    <t>992 0203 5250051180 121</t>
  </si>
  <si>
    <t>992 0203 5250051180 129</t>
  </si>
  <si>
    <t>992 0309 0300110450 244</t>
  </si>
  <si>
    <t>992 0310 0400110090 244</t>
  </si>
  <si>
    <t>992 0405 0500110110 244</t>
  </si>
  <si>
    <t>992 0405 0500210380 244</t>
  </si>
  <si>
    <t>992 0409 0600110120 244</t>
  </si>
  <si>
    <t>992 0409 06001S2440 244</t>
  </si>
  <si>
    <t>992 0412 0700110150 244</t>
  </si>
  <si>
    <t>992 0412 5310010020 244</t>
  </si>
  <si>
    <t>992 0412 5310040020 244</t>
  </si>
  <si>
    <t>992 0502 0800110160 244</t>
  </si>
  <si>
    <t>992 0502 0800710400 244</t>
  </si>
  <si>
    <t>992 0502 5310010020 244</t>
  </si>
  <si>
    <t>992 0503 0800210180 244</t>
  </si>
  <si>
    <t>992 0503 0800310190 244</t>
  </si>
  <si>
    <t>992 0503 0800410200 244</t>
  </si>
  <si>
    <t>992 0503 0800510210 244</t>
  </si>
  <si>
    <t>992 0503 0800610220 244</t>
  </si>
  <si>
    <t>992 0503 1300110470 244</t>
  </si>
  <si>
    <t>992 0707 0900110230 244</t>
  </si>
  <si>
    <t>992 0707 0900110330 244</t>
  </si>
  <si>
    <t>Субсидии бюджетным учреждениям на иные цели</t>
  </si>
  <si>
    <t>992 0801 1000100020 612</t>
  </si>
  <si>
    <t>992 0801 1000100030 612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</si>
  <si>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</si>
  <si>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992 0801 1000100590 611</t>
  </si>
  <si>
    <t>992 0801 1000110280 612</t>
  </si>
  <si>
    <t>992 0801 1000160120 612</t>
  </si>
  <si>
    <t>992 0801 10001S0120 611</t>
  </si>
  <si>
    <t>992 0801 10001S0120 612</t>
  </si>
  <si>
    <t>992 0801 1000200030 612</t>
  </si>
  <si>
    <t>992 0801 1000200590 611</t>
  </si>
  <si>
    <t>992 0801 1000210280 612</t>
  </si>
  <si>
    <t>992 0801 1000260120 612</t>
  </si>
  <si>
    <t>992 0801 10002S0120 611</t>
  </si>
  <si>
    <t>992 0801 10002S0120 612</t>
  </si>
  <si>
    <t>992 0801 1000310250 244</t>
  </si>
  <si>
    <t>Пособия, компенсации, меры социальной поддержки по публичным нормативным обязательствам</t>
  </si>
  <si>
    <t>992 1001 1100110320 313</t>
  </si>
  <si>
    <t>992 1003 1100210440 313</t>
  </si>
  <si>
    <t>992 1102 1200110290 244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</si>
  <si>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</si>
  <si>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</si>
  <si>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</si>
  <si>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</si>
  <si>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</si>
  <si>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</si>
  <si>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</si>
  <si>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</si>
  <si>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</si>
  <si>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</si>
  <si>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</si>
  <si>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</si>
  <si>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</si>
  <si>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</si>
  <si>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</si>
  <si>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</si>
  <si>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</si>
  <si>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</si>
  <si>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</si>
  <si>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</si>
  <si>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Начальник финансово-экономического отдела</t>
  </si>
  <si>
    <t>Гальченко Н. В.</t>
  </si>
  <si>
    <t>(подпись)</t>
  </si>
  <si>
    <t>(расшифровка подписи)</t>
  </si>
  <si>
    <t>Исполнитель:</t>
  </si>
  <si>
    <t>Специалист 1 категории финансово-экономического отдела</t>
  </si>
  <si>
    <t>Цыганенко Р. П.</t>
  </si>
  <si>
    <t>(должность)</t>
  </si>
  <si>
    <t xml:space="preserve">   25 октября 2018 г.   </t>
  </si>
  <si>
    <t>Форма 0503117 с.1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</si>
</sst>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0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33"/>
  <sheetViews>
    <sheetView tabSelected="1" workbookViewId="0">
      <selection sqref="A1:W1"/>
    </sheetView>
  </sheetViews>
  <sheetFormatPr defaultRowHeight="12.75" x14ac:dyDescent="0.2"/>
  <cols>
    <col min="1" max="1" width="13.7109375" style="1" customWidth="1"/>
    <col min="2" max="3" width="1.7109375" style="1" customWidth="1"/>
    <col min="4" max="4" width="0.14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4.1" customHeight="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4.1" customHeight="1" x14ac:dyDescent="0.2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4.1" customHeight="1" x14ac:dyDescent="0.2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43313</v>
      </c>
    </row>
    <row r="4" spans="1:24" s="1" customFormat="1" ht="14.1" customHeight="1" x14ac:dyDescent="0.2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4.1" customHeight="1" x14ac:dyDescent="0.2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4.1" customHeight="1" x14ac:dyDescent="0.2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4.1" customHeight="1" x14ac:dyDescent="0.2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4.1" customHeight="1" x14ac:dyDescent="0.2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4.1" customHeight="1" x14ac:dyDescent="0.2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5.1" customHeight="1" x14ac:dyDescent="0.2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95" customHeight="1" x14ac:dyDescent="0.2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4.1" customHeight="1" x14ac:dyDescent="0.2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40946000</f>
        <v>40946000</v>
      </c>
      <c r="Q12" s="21"/>
      <c r="R12" s="21"/>
      <c r="S12" s="21">
        <f>14769111.45</f>
        <v>14769111.449999999</v>
      </c>
      <c r="T12" s="21"/>
      <c r="U12" s="21"/>
      <c r="V12" s="21"/>
      <c r="W12" s="22">
        <f>26176888.55</f>
        <v>26176888.550000001</v>
      </c>
      <c r="X12" s="22"/>
    </row>
    <row r="13" spans="1:24" s="1" customFormat="1" ht="45" customHeight="1" x14ac:dyDescent="0.2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1500000</f>
        <v>1500000</v>
      </c>
      <c r="Q13" s="25"/>
      <c r="R13" s="25"/>
      <c r="S13" s="25">
        <f>1250704.53</f>
        <v>1250704.53</v>
      </c>
      <c r="T13" s="25"/>
      <c r="U13" s="25"/>
      <c r="V13" s="25"/>
      <c r="W13" s="26">
        <f>249295.47</f>
        <v>249295.47</v>
      </c>
      <c r="X13" s="26"/>
    </row>
    <row r="14" spans="1:24" s="1" customFormat="1" ht="54.95" customHeight="1" x14ac:dyDescent="0.2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5">
        <f>15000</f>
        <v>15000</v>
      </c>
      <c r="Q14" s="25"/>
      <c r="R14" s="25"/>
      <c r="S14" s="25">
        <f>10257.36</f>
        <v>10257.36</v>
      </c>
      <c r="T14" s="25"/>
      <c r="U14" s="25"/>
      <c r="V14" s="25"/>
      <c r="W14" s="26">
        <f>4742.64</f>
        <v>4742.6400000000003</v>
      </c>
      <c r="X14" s="26"/>
    </row>
    <row r="15" spans="1:24" s="1" customFormat="1" ht="45" customHeight="1" x14ac:dyDescent="0.2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41</v>
      </c>
      <c r="O15" s="24"/>
      <c r="P15" s="25">
        <f>2978300</f>
        <v>2978300</v>
      </c>
      <c r="Q15" s="25"/>
      <c r="R15" s="25"/>
      <c r="S15" s="25">
        <f>1905651.32</f>
        <v>1905651.32</v>
      </c>
      <c r="T15" s="25"/>
      <c r="U15" s="25"/>
      <c r="V15" s="25"/>
      <c r="W15" s="26">
        <f>1072648.68</f>
        <v>1072648.68</v>
      </c>
      <c r="X15" s="26"/>
    </row>
    <row r="16" spans="1:24" s="1" customFormat="1" ht="45" customHeight="1" x14ac:dyDescent="0.2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43</v>
      </c>
      <c r="O16" s="24"/>
      <c r="P16" s="25">
        <f>0</f>
        <v>0</v>
      </c>
      <c r="Q16" s="25"/>
      <c r="R16" s="25"/>
      <c r="S16" s="25">
        <f>-263223.62</f>
        <v>-263223.62</v>
      </c>
      <c r="T16" s="25"/>
      <c r="U16" s="25"/>
      <c r="V16" s="25"/>
      <c r="W16" s="27" t="s">
        <v>44</v>
      </c>
      <c r="X16" s="27"/>
    </row>
    <row r="17" spans="1:24" s="1" customFormat="1" ht="45" customHeight="1" x14ac:dyDescent="0.2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46</v>
      </c>
      <c r="O17" s="24"/>
      <c r="P17" s="25">
        <f>8520000</f>
        <v>8520000</v>
      </c>
      <c r="Q17" s="25"/>
      <c r="R17" s="25"/>
      <c r="S17" s="25">
        <f>4709181.55</f>
        <v>4709181.55</v>
      </c>
      <c r="T17" s="25"/>
      <c r="U17" s="25"/>
      <c r="V17" s="25"/>
      <c r="W17" s="26">
        <f>3810818.45</f>
        <v>3810818.45</v>
      </c>
      <c r="X17" s="26"/>
    </row>
    <row r="18" spans="1:24" s="1" customFormat="1" ht="66" customHeight="1" x14ac:dyDescent="0.2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48</v>
      </c>
      <c r="O18" s="24"/>
      <c r="P18" s="25">
        <f>12800</f>
        <v>12800</v>
      </c>
      <c r="Q18" s="25"/>
      <c r="R18" s="25"/>
      <c r="S18" s="25">
        <f>12962.17</f>
        <v>12962.17</v>
      </c>
      <c r="T18" s="25"/>
      <c r="U18" s="25"/>
      <c r="V18" s="25"/>
      <c r="W18" s="27" t="s">
        <v>44</v>
      </c>
      <c r="X18" s="27"/>
    </row>
    <row r="19" spans="1:24" s="1" customFormat="1" ht="24" customHeight="1" x14ac:dyDescent="0.2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50</v>
      </c>
      <c r="O19" s="24"/>
      <c r="P19" s="25">
        <f>6900</f>
        <v>6900</v>
      </c>
      <c r="Q19" s="25"/>
      <c r="R19" s="25"/>
      <c r="S19" s="25">
        <f>7029.97</f>
        <v>7029.97</v>
      </c>
      <c r="T19" s="25"/>
      <c r="U19" s="25"/>
      <c r="V19" s="25"/>
      <c r="W19" s="27" t="s">
        <v>44</v>
      </c>
      <c r="X19" s="27"/>
    </row>
    <row r="20" spans="1:24" s="1" customFormat="1" ht="54.95" customHeight="1" x14ac:dyDescent="0.2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52</v>
      </c>
      <c r="O20" s="24"/>
      <c r="P20" s="25">
        <f>300</f>
        <v>300</v>
      </c>
      <c r="Q20" s="25"/>
      <c r="R20" s="25"/>
      <c r="S20" s="25">
        <f>325.48</f>
        <v>325.48</v>
      </c>
      <c r="T20" s="25"/>
      <c r="U20" s="25"/>
      <c r="V20" s="25"/>
      <c r="W20" s="27" t="s">
        <v>44</v>
      </c>
      <c r="X20" s="27"/>
    </row>
    <row r="21" spans="1:24" s="1" customFormat="1" ht="14.1" customHeight="1" x14ac:dyDescent="0.2">
      <c r="A21" s="23" t="s">
        <v>53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54</v>
      </c>
      <c r="O21" s="24"/>
      <c r="P21" s="25">
        <f>1275000</f>
        <v>1275000</v>
      </c>
      <c r="Q21" s="25"/>
      <c r="R21" s="25"/>
      <c r="S21" s="25">
        <f>1242641.68</f>
        <v>1242641.68</v>
      </c>
      <c r="T21" s="25"/>
      <c r="U21" s="25"/>
      <c r="V21" s="25"/>
      <c r="W21" s="26">
        <f>32358.32</f>
        <v>32358.32</v>
      </c>
      <c r="X21" s="26"/>
    </row>
    <row r="22" spans="1:24" s="1" customFormat="1" ht="24" customHeight="1" x14ac:dyDescent="0.2">
      <c r="A22" s="23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56</v>
      </c>
      <c r="O22" s="24"/>
      <c r="P22" s="25">
        <f>2354000</f>
        <v>2354000</v>
      </c>
      <c r="Q22" s="25"/>
      <c r="R22" s="25"/>
      <c r="S22" s="25">
        <f>255592.74</f>
        <v>255592.74</v>
      </c>
      <c r="T22" s="25"/>
      <c r="U22" s="25"/>
      <c r="V22" s="25"/>
      <c r="W22" s="26">
        <f>2098407.26</f>
        <v>2098407.2599999998</v>
      </c>
      <c r="X22" s="26"/>
    </row>
    <row r="23" spans="1:24" s="1" customFormat="1" ht="24" customHeight="1" x14ac:dyDescent="0.2">
      <c r="A23" s="23" t="s">
        <v>57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58</v>
      </c>
      <c r="O23" s="24"/>
      <c r="P23" s="25">
        <f>3130000</f>
        <v>3130000</v>
      </c>
      <c r="Q23" s="25"/>
      <c r="R23" s="25"/>
      <c r="S23" s="25">
        <f>2830386.64</f>
        <v>2830386.64</v>
      </c>
      <c r="T23" s="25"/>
      <c r="U23" s="25"/>
      <c r="V23" s="25"/>
      <c r="W23" s="26">
        <f>299613.36</f>
        <v>299613.36</v>
      </c>
      <c r="X23" s="26"/>
    </row>
    <row r="24" spans="1:24" s="1" customFormat="1" ht="24" customHeight="1" x14ac:dyDescent="0.2">
      <c r="A24" s="23" t="s">
        <v>59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60</v>
      </c>
      <c r="O24" s="24"/>
      <c r="P24" s="25">
        <f>5670000</f>
        <v>5670000</v>
      </c>
      <c r="Q24" s="25"/>
      <c r="R24" s="25"/>
      <c r="S24" s="25">
        <f>609686.94</f>
        <v>609686.93999999994</v>
      </c>
      <c r="T24" s="25"/>
      <c r="U24" s="25"/>
      <c r="V24" s="25"/>
      <c r="W24" s="26">
        <f>5060313.06</f>
        <v>5060313.0599999996</v>
      </c>
      <c r="X24" s="26"/>
    </row>
    <row r="25" spans="1:24" s="1" customFormat="1" ht="45" customHeight="1" x14ac:dyDescent="0.2">
      <c r="A25" s="23" t="s">
        <v>61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62</v>
      </c>
      <c r="O25" s="24"/>
      <c r="P25" s="28" t="s">
        <v>44</v>
      </c>
      <c r="Q25" s="28"/>
      <c r="R25" s="28"/>
      <c r="S25" s="25">
        <f>3000</f>
        <v>3000</v>
      </c>
      <c r="T25" s="25"/>
      <c r="U25" s="25"/>
      <c r="V25" s="25"/>
      <c r="W25" s="27" t="s">
        <v>44</v>
      </c>
      <c r="X25" s="27"/>
    </row>
    <row r="26" spans="1:24" s="1" customFormat="1" ht="45" customHeight="1" x14ac:dyDescent="0.2">
      <c r="A26" s="23" t="s">
        <v>63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64</v>
      </c>
      <c r="O26" s="24"/>
      <c r="P26" s="25">
        <f>2400</f>
        <v>2400</v>
      </c>
      <c r="Q26" s="25"/>
      <c r="R26" s="25"/>
      <c r="S26" s="25">
        <f>2433</f>
        <v>2433</v>
      </c>
      <c r="T26" s="25"/>
      <c r="U26" s="25"/>
      <c r="V26" s="25"/>
      <c r="W26" s="27" t="s">
        <v>44</v>
      </c>
      <c r="X26" s="27"/>
    </row>
    <row r="27" spans="1:24" s="1" customFormat="1" ht="33.950000000000003" customHeight="1" x14ac:dyDescent="0.2">
      <c r="A27" s="23" t="s">
        <v>65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66</v>
      </c>
      <c r="O27" s="24"/>
      <c r="P27" s="25">
        <f>141900</f>
        <v>141900</v>
      </c>
      <c r="Q27" s="25"/>
      <c r="R27" s="25"/>
      <c r="S27" s="25">
        <f>141964.5</f>
        <v>141964.5</v>
      </c>
      <c r="T27" s="25"/>
      <c r="U27" s="25"/>
      <c r="V27" s="25"/>
      <c r="W27" s="27" t="s">
        <v>44</v>
      </c>
      <c r="X27" s="27"/>
    </row>
    <row r="28" spans="1:24" s="1" customFormat="1" ht="54.95" customHeight="1" x14ac:dyDescent="0.2">
      <c r="A28" s="23" t="s">
        <v>67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68</v>
      </c>
      <c r="O28" s="24"/>
      <c r="P28" s="25">
        <f>83900</f>
        <v>83900</v>
      </c>
      <c r="Q28" s="25"/>
      <c r="R28" s="25"/>
      <c r="S28" s="25">
        <f>83909.4</f>
        <v>83909.4</v>
      </c>
      <c r="T28" s="25"/>
      <c r="U28" s="25"/>
      <c r="V28" s="25"/>
      <c r="W28" s="27" t="s">
        <v>44</v>
      </c>
      <c r="X28" s="27"/>
    </row>
    <row r="29" spans="1:24" s="1" customFormat="1" ht="45" customHeight="1" x14ac:dyDescent="0.2">
      <c r="A29" s="23" t="s">
        <v>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69</v>
      </c>
      <c r="O29" s="24"/>
      <c r="P29" s="28" t="s">
        <v>44</v>
      </c>
      <c r="Q29" s="28"/>
      <c r="R29" s="28"/>
      <c r="S29" s="25">
        <f>1139.5</f>
        <v>1139.5</v>
      </c>
      <c r="T29" s="25"/>
      <c r="U29" s="25"/>
      <c r="V29" s="25"/>
      <c r="W29" s="27" t="s">
        <v>44</v>
      </c>
      <c r="X29" s="27"/>
    </row>
    <row r="30" spans="1:24" s="1" customFormat="1" ht="14.1" customHeight="1" x14ac:dyDescent="0.2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71</v>
      </c>
      <c r="O30" s="24"/>
      <c r="P30" s="28" t="s">
        <v>44</v>
      </c>
      <c r="Q30" s="28"/>
      <c r="R30" s="28"/>
      <c r="S30" s="25">
        <f>0</f>
        <v>0</v>
      </c>
      <c r="T30" s="25"/>
      <c r="U30" s="25"/>
      <c r="V30" s="25"/>
      <c r="W30" s="27" t="s">
        <v>44</v>
      </c>
      <c r="X30" s="27"/>
    </row>
    <row r="31" spans="1:24" s="1" customFormat="1" ht="14.1" customHeight="1" x14ac:dyDescent="0.2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73</v>
      </c>
      <c r="O31" s="24"/>
      <c r="P31" s="25">
        <f>14804600</f>
        <v>14804600</v>
      </c>
      <c r="Q31" s="25"/>
      <c r="R31" s="25"/>
      <c r="S31" s="25">
        <f>1691154.73</f>
        <v>1691154.73</v>
      </c>
      <c r="T31" s="25"/>
      <c r="U31" s="25"/>
      <c r="V31" s="25"/>
      <c r="W31" s="26">
        <f>13113445.27</f>
        <v>13113445.27</v>
      </c>
      <c r="X31" s="26"/>
    </row>
    <row r="32" spans="1:24" s="1" customFormat="1" ht="24" customHeight="1" x14ac:dyDescent="0.2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75</v>
      </c>
      <c r="O32" s="24"/>
      <c r="P32" s="25">
        <f>3800</f>
        <v>3800</v>
      </c>
      <c r="Q32" s="25"/>
      <c r="R32" s="25"/>
      <c r="S32" s="25">
        <f>3800</f>
        <v>3800</v>
      </c>
      <c r="T32" s="25"/>
      <c r="U32" s="25"/>
      <c r="V32" s="25"/>
      <c r="W32" s="26">
        <f>0</f>
        <v>0</v>
      </c>
      <c r="X32" s="26"/>
    </row>
    <row r="33" spans="1:24" s="1" customFormat="1" ht="24" customHeight="1" x14ac:dyDescent="0.2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77</v>
      </c>
      <c r="O33" s="24"/>
      <c r="P33" s="25">
        <f>402100</f>
        <v>402100</v>
      </c>
      <c r="Q33" s="25"/>
      <c r="R33" s="25"/>
      <c r="S33" s="25">
        <f>225513.56</f>
        <v>225513.56</v>
      </c>
      <c r="T33" s="25"/>
      <c r="U33" s="25"/>
      <c r="V33" s="25"/>
      <c r="W33" s="26">
        <f>176586.44</f>
        <v>176586.44</v>
      </c>
      <c r="X33" s="26"/>
    </row>
    <row r="34" spans="1:24" s="1" customFormat="1" ht="45" customHeight="1" x14ac:dyDescent="0.2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79</v>
      </c>
      <c r="O34" s="24"/>
      <c r="P34" s="25">
        <f>45000</f>
        <v>45000</v>
      </c>
      <c r="Q34" s="25"/>
      <c r="R34" s="25"/>
      <c r="S34" s="25">
        <f>45000</f>
        <v>45000</v>
      </c>
      <c r="T34" s="25"/>
      <c r="U34" s="25"/>
      <c r="V34" s="25"/>
      <c r="W34" s="26">
        <f>0</f>
        <v>0</v>
      </c>
      <c r="X34" s="26"/>
    </row>
    <row r="35" spans="1:24" s="1" customFormat="1" ht="54.95" customHeight="1" x14ac:dyDescent="0.2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81</v>
      </c>
      <c r="O35" s="24"/>
      <c r="P35" s="28" t="s">
        <v>44</v>
      </c>
      <c r="Q35" s="28"/>
      <c r="R35" s="28"/>
      <c r="S35" s="25">
        <f>0</f>
        <v>0</v>
      </c>
      <c r="T35" s="25"/>
      <c r="U35" s="25"/>
      <c r="V35" s="25"/>
      <c r="W35" s="27" t="s">
        <v>44</v>
      </c>
      <c r="X35" s="27"/>
    </row>
    <row r="36" spans="1:24" s="1" customFormat="1" ht="14.1" customHeight="1" x14ac:dyDescent="0.2">
      <c r="A36" s="29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1" customFormat="1" ht="14.1" customHeight="1" x14ac:dyDescent="0.2">
      <c r="A37" s="12" t="s">
        <v>82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5.1" customHeight="1" x14ac:dyDescent="0.2">
      <c r="A38" s="13" t="s">
        <v>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22</v>
      </c>
      <c r="M38" s="13"/>
      <c r="N38" s="13" t="s">
        <v>83</v>
      </c>
      <c r="O38" s="13"/>
      <c r="P38" s="14" t="s">
        <v>24</v>
      </c>
      <c r="Q38" s="14"/>
      <c r="R38" s="14"/>
      <c r="S38" s="14" t="s">
        <v>25</v>
      </c>
      <c r="T38" s="14"/>
      <c r="U38" s="14"/>
      <c r="V38" s="14"/>
      <c r="W38" s="15" t="s">
        <v>26</v>
      </c>
      <c r="X38" s="15"/>
    </row>
    <row r="39" spans="1:24" s="1" customFormat="1" ht="14.1" customHeight="1" x14ac:dyDescent="0.2">
      <c r="A39" s="16" t="s">
        <v>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28</v>
      </c>
      <c r="M39" s="16"/>
      <c r="N39" s="16" t="s">
        <v>29</v>
      </c>
      <c r="O39" s="16"/>
      <c r="P39" s="17" t="s">
        <v>30</v>
      </c>
      <c r="Q39" s="17"/>
      <c r="R39" s="17"/>
      <c r="S39" s="17" t="s">
        <v>31</v>
      </c>
      <c r="T39" s="17"/>
      <c r="U39" s="17"/>
      <c r="V39" s="17"/>
      <c r="W39" s="18" t="s">
        <v>32</v>
      </c>
      <c r="X39" s="18"/>
    </row>
    <row r="40" spans="1:24" s="1" customFormat="1" ht="14.1" customHeight="1" x14ac:dyDescent="0.2">
      <c r="A40" s="19" t="s">
        <v>84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85</v>
      </c>
      <c r="M40" s="20"/>
      <c r="N40" s="20" t="s">
        <v>35</v>
      </c>
      <c r="O40" s="20"/>
      <c r="P40" s="21">
        <f>44946000</f>
        <v>44946000</v>
      </c>
      <c r="Q40" s="21"/>
      <c r="R40" s="21"/>
      <c r="S40" s="21">
        <f>15822649.79</f>
        <v>15822649.789999999</v>
      </c>
      <c r="T40" s="21"/>
      <c r="U40" s="21"/>
      <c r="V40" s="21"/>
      <c r="W40" s="22">
        <f>29123350.21</f>
        <v>29123350.210000001</v>
      </c>
      <c r="X40" s="22"/>
    </row>
    <row r="41" spans="1:24" s="1" customFormat="1" ht="14.1" customHeight="1" x14ac:dyDescent="0.2">
      <c r="A41" s="30" t="s">
        <v>86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85</v>
      </c>
      <c r="M41" s="31"/>
      <c r="N41" s="31" t="s">
        <v>87</v>
      </c>
      <c r="O41" s="31"/>
      <c r="P41" s="32">
        <f>528300</f>
        <v>528300</v>
      </c>
      <c r="Q41" s="32"/>
      <c r="R41" s="32"/>
      <c r="S41" s="32">
        <f>330477</f>
        <v>330477</v>
      </c>
      <c r="T41" s="32"/>
      <c r="U41" s="32"/>
      <c r="V41" s="32"/>
      <c r="W41" s="33">
        <f>197823</f>
        <v>197823</v>
      </c>
      <c r="X41" s="33"/>
    </row>
    <row r="42" spans="1:24" s="1" customFormat="1" ht="33.950000000000003" customHeight="1" x14ac:dyDescent="0.2">
      <c r="A42" s="30" t="s">
        <v>88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85</v>
      </c>
      <c r="M42" s="31"/>
      <c r="N42" s="31" t="s">
        <v>89</v>
      </c>
      <c r="O42" s="31"/>
      <c r="P42" s="32">
        <f>143700</f>
        <v>143700</v>
      </c>
      <c r="Q42" s="32"/>
      <c r="R42" s="32"/>
      <c r="S42" s="32">
        <f>85226.79</f>
        <v>85226.79</v>
      </c>
      <c r="T42" s="32"/>
      <c r="U42" s="32"/>
      <c r="V42" s="32"/>
      <c r="W42" s="33">
        <f>58473.21</f>
        <v>58473.21</v>
      </c>
      <c r="X42" s="33"/>
    </row>
    <row r="43" spans="1:24" s="1" customFormat="1" ht="14.1" customHeight="1" x14ac:dyDescent="0.2">
      <c r="A43" s="30" t="s">
        <v>86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85</v>
      </c>
      <c r="M43" s="31"/>
      <c r="N43" s="31" t="s">
        <v>90</v>
      </c>
      <c r="O43" s="31"/>
      <c r="P43" s="32">
        <f>3595145</f>
        <v>3595145</v>
      </c>
      <c r="Q43" s="32"/>
      <c r="R43" s="32"/>
      <c r="S43" s="32">
        <f>1785460</f>
        <v>1785460</v>
      </c>
      <c r="T43" s="32"/>
      <c r="U43" s="32"/>
      <c r="V43" s="32"/>
      <c r="W43" s="33">
        <f>1809685</f>
        <v>1809685</v>
      </c>
      <c r="X43" s="33"/>
    </row>
    <row r="44" spans="1:24" s="1" customFormat="1" ht="24" customHeight="1" x14ac:dyDescent="0.2">
      <c r="A44" s="30" t="s">
        <v>91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85</v>
      </c>
      <c r="M44" s="31"/>
      <c r="N44" s="31" t="s">
        <v>92</v>
      </c>
      <c r="O44" s="31"/>
      <c r="P44" s="32">
        <f>1000</f>
        <v>1000</v>
      </c>
      <c r="Q44" s="32"/>
      <c r="R44" s="32"/>
      <c r="S44" s="34" t="s">
        <v>44</v>
      </c>
      <c r="T44" s="34"/>
      <c r="U44" s="34"/>
      <c r="V44" s="34"/>
      <c r="W44" s="33">
        <f>1000</f>
        <v>1000</v>
      </c>
      <c r="X44" s="33"/>
    </row>
    <row r="45" spans="1:24" s="1" customFormat="1" ht="33.950000000000003" customHeight="1" x14ac:dyDescent="0.2">
      <c r="A45" s="30" t="s">
        <v>88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85</v>
      </c>
      <c r="M45" s="31"/>
      <c r="N45" s="31" t="s">
        <v>93</v>
      </c>
      <c r="O45" s="31"/>
      <c r="P45" s="32">
        <f>1115855</f>
        <v>1115855</v>
      </c>
      <c r="Q45" s="32"/>
      <c r="R45" s="32"/>
      <c r="S45" s="32">
        <f>565527.9</f>
        <v>565527.9</v>
      </c>
      <c r="T45" s="32"/>
      <c r="U45" s="32"/>
      <c r="V45" s="32"/>
      <c r="W45" s="33">
        <f>550327.1</f>
        <v>550327.1</v>
      </c>
      <c r="X45" s="33"/>
    </row>
    <row r="46" spans="1:24" s="1" customFormat="1" ht="14.1" customHeight="1" x14ac:dyDescent="0.2">
      <c r="A46" s="30" t="s">
        <v>94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85</v>
      </c>
      <c r="M46" s="31"/>
      <c r="N46" s="31" t="s">
        <v>95</v>
      </c>
      <c r="O46" s="31"/>
      <c r="P46" s="32">
        <f>38000</f>
        <v>38000</v>
      </c>
      <c r="Q46" s="32"/>
      <c r="R46" s="32"/>
      <c r="S46" s="32">
        <f>6400</f>
        <v>6400</v>
      </c>
      <c r="T46" s="32"/>
      <c r="U46" s="32"/>
      <c r="V46" s="32"/>
      <c r="W46" s="33">
        <f>31600</f>
        <v>31600</v>
      </c>
      <c r="X46" s="33"/>
    </row>
    <row r="47" spans="1:24" s="1" customFormat="1" ht="14.1" customHeight="1" x14ac:dyDescent="0.2">
      <c r="A47" s="30" t="s">
        <v>96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85</v>
      </c>
      <c r="M47" s="31"/>
      <c r="N47" s="31" t="s">
        <v>97</v>
      </c>
      <c r="O47" s="31"/>
      <c r="P47" s="32">
        <f>0</f>
        <v>0</v>
      </c>
      <c r="Q47" s="32"/>
      <c r="R47" s="32"/>
      <c r="S47" s="34" t="s">
        <v>44</v>
      </c>
      <c r="T47" s="34"/>
      <c r="U47" s="34"/>
      <c r="V47" s="34"/>
      <c r="W47" s="35" t="s">
        <v>44</v>
      </c>
      <c r="X47" s="35"/>
    </row>
    <row r="48" spans="1:24" s="1" customFormat="1" ht="14.1" customHeight="1" x14ac:dyDescent="0.2">
      <c r="A48" s="30" t="s">
        <v>98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85</v>
      </c>
      <c r="M48" s="31"/>
      <c r="N48" s="31" t="s">
        <v>99</v>
      </c>
      <c r="O48" s="31"/>
      <c r="P48" s="32">
        <f>2000</f>
        <v>2000</v>
      </c>
      <c r="Q48" s="32"/>
      <c r="R48" s="32"/>
      <c r="S48" s="32">
        <f>1810</f>
        <v>1810</v>
      </c>
      <c r="T48" s="32"/>
      <c r="U48" s="32"/>
      <c r="V48" s="32"/>
      <c r="W48" s="33">
        <f>190</f>
        <v>190</v>
      </c>
      <c r="X48" s="33"/>
    </row>
    <row r="49" spans="1:24" s="1" customFormat="1" ht="14.1" customHeight="1" x14ac:dyDescent="0.2">
      <c r="A49" s="30" t="s">
        <v>100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85</v>
      </c>
      <c r="M49" s="31"/>
      <c r="N49" s="31" t="s">
        <v>101</v>
      </c>
      <c r="O49" s="31"/>
      <c r="P49" s="32">
        <f>10000</f>
        <v>10000</v>
      </c>
      <c r="Q49" s="32"/>
      <c r="R49" s="32"/>
      <c r="S49" s="32">
        <f>6971.16</f>
        <v>6971.16</v>
      </c>
      <c r="T49" s="32"/>
      <c r="U49" s="32"/>
      <c r="V49" s="32"/>
      <c r="W49" s="33">
        <f>3028.84</f>
        <v>3028.84</v>
      </c>
      <c r="X49" s="33"/>
    </row>
    <row r="50" spans="1:24" s="1" customFormat="1" ht="14.1" customHeight="1" x14ac:dyDescent="0.2">
      <c r="A50" s="30" t="s">
        <v>102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85</v>
      </c>
      <c r="M50" s="31"/>
      <c r="N50" s="31" t="s">
        <v>103</v>
      </c>
      <c r="O50" s="31"/>
      <c r="P50" s="32">
        <f>57800</f>
        <v>57800</v>
      </c>
      <c r="Q50" s="32"/>
      <c r="R50" s="32"/>
      <c r="S50" s="32">
        <f>33740</f>
        <v>33740</v>
      </c>
      <c r="T50" s="32"/>
      <c r="U50" s="32"/>
      <c r="V50" s="32"/>
      <c r="W50" s="33">
        <f>24060</f>
        <v>24060</v>
      </c>
      <c r="X50" s="33"/>
    </row>
    <row r="51" spans="1:24" s="1" customFormat="1" ht="14.1" customHeight="1" x14ac:dyDescent="0.2">
      <c r="A51" s="30" t="s">
        <v>104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85</v>
      </c>
      <c r="M51" s="31"/>
      <c r="N51" s="31" t="s">
        <v>105</v>
      </c>
      <c r="O51" s="31"/>
      <c r="P51" s="32">
        <f>25000</f>
        <v>25000</v>
      </c>
      <c r="Q51" s="32"/>
      <c r="R51" s="32"/>
      <c r="S51" s="34" t="s">
        <v>44</v>
      </c>
      <c r="T51" s="34"/>
      <c r="U51" s="34"/>
      <c r="V51" s="34"/>
      <c r="W51" s="33">
        <f>25000</f>
        <v>25000</v>
      </c>
      <c r="X51" s="33"/>
    </row>
    <row r="52" spans="1:24" s="1" customFormat="1" ht="14.1" customHeight="1" x14ac:dyDescent="0.2">
      <c r="A52" s="30" t="s">
        <v>106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85</v>
      </c>
      <c r="M52" s="31"/>
      <c r="N52" s="31" t="s">
        <v>107</v>
      </c>
      <c r="O52" s="31"/>
      <c r="P52" s="32">
        <f>240000</f>
        <v>240000</v>
      </c>
      <c r="Q52" s="32"/>
      <c r="R52" s="32"/>
      <c r="S52" s="32">
        <f>110400</f>
        <v>110400</v>
      </c>
      <c r="T52" s="32"/>
      <c r="U52" s="32"/>
      <c r="V52" s="32"/>
      <c r="W52" s="33">
        <f>129600</f>
        <v>129600</v>
      </c>
      <c r="X52" s="33"/>
    </row>
    <row r="53" spans="1:24" s="1" customFormat="1" ht="14.1" customHeight="1" x14ac:dyDescent="0.2">
      <c r="A53" s="30" t="s">
        <v>94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85</v>
      </c>
      <c r="M53" s="31"/>
      <c r="N53" s="31" t="s">
        <v>108</v>
      </c>
      <c r="O53" s="31"/>
      <c r="P53" s="32">
        <f>65800</f>
        <v>65800</v>
      </c>
      <c r="Q53" s="32"/>
      <c r="R53" s="32"/>
      <c r="S53" s="34" t="s">
        <v>44</v>
      </c>
      <c r="T53" s="34"/>
      <c r="U53" s="34"/>
      <c r="V53" s="34"/>
      <c r="W53" s="33">
        <f>65800</f>
        <v>65800</v>
      </c>
      <c r="X53" s="33"/>
    </row>
    <row r="54" spans="1:24" s="1" customFormat="1" ht="14.1" customHeight="1" x14ac:dyDescent="0.2">
      <c r="A54" s="30" t="s">
        <v>94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85</v>
      </c>
      <c r="M54" s="31"/>
      <c r="N54" s="31" t="s">
        <v>109</v>
      </c>
      <c r="O54" s="31"/>
      <c r="P54" s="32">
        <f>51000</f>
        <v>51000</v>
      </c>
      <c r="Q54" s="32"/>
      <c r="R54" s="32"/>
      <c r="S54" s="34" t="s">
        <v>44</v>
      </c>
      <c r="T54" s="34"/>
      <c r="U54" s="34"/>
      <c r="V54" s="34"/>
      <c r="W54" s="33">
        <f>51000</f>
        <v>51000</v>
      </c>
      <c r="X54" s="33"/>
    </row>
    <row r="55" spans="1:24" s="1" customFormat="1" ht="14.1" customHeight="1" x14ac:dyDescent="0.2">
      <c r="A55" s="30" t="s">
        <v>94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85</v>
      </c>
      <c r="M55" s="31"/>
      <c r="N55" s="31" t="s">
        <v>110</v>
      </c>
      <c r="O55" s="31"/>
      <c r="P55" s="32">
        <f>440000</f>
        <v>440000</v>
      </c>
      <c r="Q55" s="32"/>
      <c r="R55" s="32"/>
      <c r="S55" s="32">
        <f>286489.29</f>
        <v>286489.28999999998</v>
      </c>
      <c r="T55" s="32"/>
      <c r="U55" s="32"/>
      <c r="V55" s="32"/>
      <c r="W55" s="33">
        <f>153510.71</f>
        <v>153510.71</v>
      </c>
      <c r="X55" s="33"/>
    </row>
    <row r="56" spans="1:24" s="1" customFormat="1" ht="14.1" customHeight="1" x14ac:dyDescent="0.2">
      <c r="A56" s="30" t="s">
        <v>96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85</v>
      </c>
      <c r="M56" s="31"/>
      <c r="N56" s="31" t="s">
        <v>111</v>
      </c>
      <c r="O56" s="31"/>
      <c r="P56" s="32">
        <f>120000</f>
        <v>120000</v>
      </c>
      <c r="Q56" s="32"/>
      <c r="R56" s="32"/>
      <c r="S56" s="32">
        <f>87527</f>
        <v>87527</v>
      </c>
      <c r="T56" s="32"/>
      <c r="U56" s="32"/>
      <c r="V56" s="32"/>
      <c r="W56" s="33">
        <f>32473</f>
        <v>32473</v>
      </c>
      <c r="X56" s="33"/>
    </row>
    <row r="57" spans="1:24" s="1" customFormat="1" ht="14.1" customHeight="1" x14ac:dyDescent="0.2">
      <c r="A57" s="30" t="s">
        <v>98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85</v>
      </c>
      <c r="M57" s="31"/>
      <c r="N57" s="31" t="s">
        <v>112</v>
      </c>
      <c r="O57" s="31"/>
      <c r="P57" s="32">
        <f>20000</f>
        <v>20000</v>
      </c>
      <c r="Q57" s="32"/>
      <c r="R57" s="32"/>
      <c r="S57" s="32">
        <f>16782</f>
        <v>16782</v>
      </c>
      <c r="T57" s="32"/>
      <c r="U57" s="32"/>
      <c r="V57" s="32"/>
      <c r="W57" s="33">
        <f>3218</f>
        <v>3218</v>
      </c>
      <c r="X57" s="33"/>
    </row>
    <row r="58" spans="1:24" s="1" customFormat="1" ht="14.1" customHeight="1" x14ac:dyDescent="0.2">
      <c r="A58" s="30" t="s">
        <v>100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85</v>
      </c>
      <c r="M58" s="31"/>
      <c r="N58" s="31" t="s">
        <v>113</v>
      </c>
      <c r="O58" s="31"/>
      <c r="P58" s="32">
        <f>165000</f>
        <v>165000</v>
      </c>
      <c r="Q58" s="32"/>
      <c r="R58" s="32"/>
      <c r="S58" s="32">
        <f>45925.64</f>
        <v>45925.64</v>
      </c>
      <c r="T58" s="32"/>
      <c r="U58" s="32"/>
      <c r="V58" s="32"/>
      <c r="W58" s="33">
        <f>119074.36</f>
        <v>119074.36</v>
      </c>
      <c r="X58" s="33"/>
    </row>
    <row r="59" spans="1:24" s="1" customFormat="1" ht="14.1" customHeight="1" x14ac:dyDescent="0.2">
      <c r="A59" s="30" t="s">
        <v>94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85</v>
      </c>
      <c r="M59" s="31"/>
      <c r="N59" s="31" t="s">
        <v>114</v>
      </c>
      <c r="O59" s="31"/>
      <c r="P59" s="32">
        <f>220000</f>
        <v>220000</v>
      </c>
      <c r="Q59" s="32"/>
      <c r="R59" s="32"/>
      <c r="S59" s="32">
        <f>124032.67</f>
        <v>124032.67</v>
      </c>
      <c r="T59" s="32"/>
      <c r="U59" s="32"/>
      <c r="V59" s="32"/>
      <c r="W59" s="33">
        <f>95967.33</f>
        <v>95967.33</v>
      </c>
      <c r="X59" s="33"/>
    </row>
    <row r="60" spans="1:24" s="1" customFormat="1" ht="14.1" customHeight="1" x14ac:dyDescent="0.2">
      <c r="A60" s="30" t="s">
        <v>94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85</v>
      </c>
      <c r="M60" s="31"/>
      <c r="N60" s="31" t="s">
        <v>115</v>
      </c>
      <c r="O60" s="31"/>
      <c r="P60" s="32">
        <f>200000</f>
        <v>200000</v>
      </c>
      <c r="Q60" s="32"/>
      <c r="R60" s="32"/>
      <c r="S60" s="32">
        <f>139006.4</f>
        <v>139006.39999999999</v>
      </c>
      <c r="T60" s="32"/>
      <c r="U60" s="32"/>
      <c r="V60" s="32"/>
      <c r="W60" s="33">
        <f>60993.6</f>
        <v>60993.599999999999</v>
      </c>
      <c r="X60" s="33"/>
    </row>
    <row r="61" spans="1:24" s="1" customFormat="1" ht="14.1" customHeight="1" x14ac:dyDescent="0.2">
      <c r="A61" s="30" t="s">
        <v>94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85</v>
      </c>
      <c r="M61" s="31"/>
      <c r="N61" s="31" t="s">
        <v>116</v>
      </c>
      <c r="O61" s="31"/>
      <c r="P61" s="32">
        <f>90000</f>
        <v>90000</v>
      </c>
      <c r="Q61" s="32"/>
      <c r="R61" s="32"/>
      <c r="S61" s="32">
        <f>67742.34</f>
        <v>67742.34</v>
      </c>
      <c r="T61" s="32"/>
      <c r="U61" s="32"/>
      <c r="V61" s="32"/>
      <c r="W61" s="33">
        <f>22257.66</f>
        <v>22257.66</v>
      </c>
      <c r="X61" s="33"/>
    </row>
    <row r="62" spans="1:24" s="1" customFormat="1" ht="24" customHeight="1" x14ac:dyDescent="0.2">
      <c r="A62" s="30" t="s">
        <v>117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85</v>
      </c>
      <c r="M62" s="31"/>
      <c r="N62" s="31" t="s">
        <v>118</v>
      </c>
      <c r="O62" s="31"/>
      <c r="P62" s="32">
        <f>10000</f>
        <v>10000</v>
      </c>
      <c r="Q62" s="32"/>
      <c r="R62" s="32"/>
      <c r="S62" s="34" t="s">
        <v>44</v>
      </c>
      <c r="T62" s="34"/>
      <c r="U62" s="34"/>
      <c r="V62" s="34"/>
      <c r="W62" s="33">
        <f>10000</f>
        <v>10000</v>
      </c>
      <c r="X62" s="33"/>
    </row>
    <row r="63" spans="1:24" s="1" customFormat="1" ht="24" customHeight="1" x14ac:dyDescent="0.2">
      <c r="A63" s="30" t="s">
        <v>119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85</v>
      </c>
      <c r="M63" s="31"/>
      <c r="N63" s="31" t="s">
        <v>120</v>
      </c>
      <c r="O63" s="31"/>
      <c r="P63" s="32">
        <f>0</f>
        <v>0</v>
      </c>
      <c r="Q63" s="32"/>
      <c r="R63" s="32"/>
      <c r="S63" s="34" t="s">
        <v>44</v>
      </c>
      <c r="T63" s="34"/>
      <c r="U63" s="34"/>
      <c r="V63" s="34"/>
      <c r="W63" s="35" t="s">
        <v>44</v>
      </c>
      <c r="X63" s="35"/>
    </row>
    <row r="64" spans="1:24" s="1" customFormat="1" ht="14.1" customHeight="1" x14ac:dyDescent="0.2">
      <c r="A64" s="30" t="s">
        <v>94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85</v>
      </c>
      <c r="M64" s="31"/>
      <c r="N64" s="31" t="s">
        <v>121</v>
      </c>
      <c r="O64" s="31"/>
      <c r="P64" s="32">
        <f>3800</f>
        <v>3800</v>
      </c>
      <c r="Q64" s="32"/>
      <c r="R64" s="32"/>
      <c r="S64" s="32">
        <f>3800</f>
        <v>3800</v>
      </c>
      <c r="T64" s="32"/>
      <c r="U64" s="32"/>
      <c r="V64" s="32"/>
      <c r="W64" s="33">
        <f>0</f>
        <v>0</v>
      </c>
      <c r="X64" s="33"/>
    </row>
    <row r="65" spans="1:24" s="1" customFormat="1" ht="14.1" customHeight="1" x14ac:dyDescent="0.2">
      <c r="A65" s="30" t="s">
        <v>94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85</v>
      </c>
      <c r="M65" s="31"/>
      <c r="N65" s="31" t="s">
        <v>122</v>
      </c>
      <c r="O65" s="31"/>
      <c r="P65" s="32">
        <f>15000</f>
        <v>15000</v>
      </c>
      <c r="Q65" s="32"/>
      <c r="R65" s="32"/>
      <c r="S65" s="34" t="s">
        <v>44</v>
      </c>
      <c r="T65" s="34"/>
      <c r="U65" s="34"/>
      <c r="V65" s="34"/>
      <c r="W65" s="33">
        <f>15000</f>
        <v>15000</v>
      </c>
      <c r="X65" s="33"/>
    </row>
    <row r="66" spans="1:24" s="1" customFormat="1" ht="14.1" customHeight="1" x14ac:dyDescent="0.2">
      <c r="A66" s="30" t="s">
        <v>123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85</v>
      </c>
      <c r="M66" s="31"/>
      <c r="N66" s="31" t="s">
        <v>124</v>
      </c>
      <c r="O66" s="31"/>
      <c r="P66" s="32">
        <f>1018800</f>
        <v>1018800</v>
      </c>
      <c r="Q66" s="32"/>
      <c r="R66" s="32"/>
      <c r="S66" s="32">
        <f>34086</f>
        <v>34086</v>
      </c>
      <c r="T66" s="32"/>
      <c r="U66" s="32"/>
      <c r="V66" s="32"/>
      <c r="W66" s="33">
        <f>984714</f>
        <v>984714</v>
      </c>
      <c r="X66" s="33"/>
    </row>
    <row r="67" spans="1:24" s="1" customFormat="1" ht="24" customHeight="1" x14ac:dyDescent="0.2">
      <c r="A67" s="30" t="s">
        <v>125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85</v>
      </c>
      <c r="M67" s="31"/>
      <c r="N67" s="31" t="s">
        <v>126</v>
      </c>
      <c r="O67" s="31"/>
      <c r="P67" s="32">
        <f>307700</f>
        <v>307700</v>
      </c>
      <c r="Q67" s="32"/>
      <c r="R67" s="32"/>
      <c r="S67" s="34" t="s">
        <v>44</v>
      </c>
      <c r="T67" s="34"/>
      <c r="U67" s="34"/>
      <c r="V67" s="34"/>
      <c r="W67" s="33">
        <f>307700</f>
        <v>307700</v>
      </c>
      <c r="X67" s="33"/>
    </row>
    <row r="68" spans="1:24" s="1" customFormat="1" ht="14.1" customHeight="1" x14ac:dyDescent="0.2">
      <c r="A68" s="30" t="s">
        <v>94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85</v>
      </c>
      <c r="M68" s="31"/>
      <c r="N68" s="31" t="s">
        <v>127</v>
      </c>
      <c r="O68" s="31"/>
      <c r="P68" s="32">
        <f>720500</f>
        <v>720500</v>
      </c>
      <c r="Q68" s="32"/>
      <c r="R68" s="32"/>
      <c r="S68" s="34" t="s">
        <v>44</v>
      </c>
      <c r="T68" s="34"/>
      <c r="U68" s="34"/>
      <c r="V68" s="34"/>
      <c r="W68" s="33">
        <f>720500</f>
        <v>720500</v>
      </c>
      <c r="X68" s="33"/>
    </row>
    <row r="69" spans="1:24" s="1" customFormat="1" ht="14.1" customHeight="1" x14ac:dyDescent="0.2">
      <c r="A69" s="30" t="s">
        <v>98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85</v>
      </c>
      <c r="M69" s="31"/>
      <c r="N69" s="31" t="s">
        <v>128</v>
      </c>
      <c r="O69" s="31"/>
      <c r="P69" s="32">
        <f>10000</f>
        <v>10000</v>
      </c>
      <c r="Q69" s="32"/>
      <c r="R69" s="32"/>
      <c r="S69" s="34" t="s">
        <v>44</v>
      </c>
      <c r="T69" s="34"/>
      <c r="U69" s="34"/>
      <c r="V69" s="34"/>
      <c r="W69" s="33">
        <f>10000</f>
        <v>10000</v>
      </c>
      <c r="X69" s="33"/>
    </row>
    <row r="70" spans="1:24" s="1" customFormat="1" ht="14.1" customHeight="1" x14ac:dyDescent="0.2">
      <c r="A70" s="30" t="s">
        <v>100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85</v>
      </c>
      <c r="M70" s="31"/>
      <c r="N70" s="31" t="s">
        <v>129</v>
      </c>
      <c r="O70" s="31"/>
      <c r="P70" s="32">
        <f>13000</f>
        <v>13000</v>
      </c>
      <c r="Q70" s="32"/>
      <c r="R70" s="32"/>
      <c r="S70" s="34" t="s">
        <v>44</v>
      </c>
      <c r="T70" s="34"/>
      <c r="U70" s="34"/>
      <c r="V70" s="34"/>
      <c r="W70" s="33">
        <f>13000</f>
        <v>13000</v>
      </c>
      <c r="X70" s="33"/>
    </row>
    <row r="71" spans="1:24" s="1" customFormat="1" ht="14.1" customHeight="1" x14ac:dyDescent="0.2">
      <c r="A71" s="30" t="s">
        <v>86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85</v>
      </c>
      <c r="M71" s="31"/>
      <c r="N71" s="31" t="s">
        <v>130</v>
      </c>
      <c r="O71" s="31"/>
      <c r="P71" s="32">
        <f>306800</f>
        <v>306800</v>
      </c>
      <c r="Q71" s="32"/>
      <c r="R71" s="32"/>
      <c r="S71" s="32">
        <f>178165</f>
        <v>178165</v>
      </c>
      <c r="T71" s="32"/>
      <c r="U71" s="32"/>
      <c r="V71" s="32"/>
      <c r="W71" s="33">
        <f>128635</f>
        <v>128635</v>
      </c>
      <c r="X71" s="33"/>
    </row>
    <row r="72" spans="1:24" s="1" customFormat="1" ht="33.950000000000003" customHeight="1" x14ac:dyDescent="0.2">
      <c r="A72" s="30" t="s">
        <v>88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85</v>
      </c>
      <c r="M72" s="31"/>
      <c r="N72" s="31" t="s">
        <v>131</v>
      </c>
      <c r="O72" s="31"/>
      <c r="P72" s="32">
        <f>95300</f>
        <v>95300</v>
      </c>
      <c r="Q72" s="32"/>
      <c r="R72" s="32"/>
      <c r="S72" s="32">
        <f>47348.56</f>
        <v>47348.56</v>
      </c>
      <c r="T72" s="32"/>
      <c r="U72" s="32"/>
      <c r="V72" s="32"/>
      <c r="W72" s="33">
        <f>47951.44</f>
        <v>47951.44</v>
      </c>
      <c r="X72" s="33"/>
    </row>
    <row r="73" spans="1:24" s="1" customFormat="1" ht="14.1" customHeight="1" x14ac:dyDescent="0.2">
      <c r="A73" s="30" t="s">
        <v>94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85</v>
      </c>
      <c r="M73" s="31"/>
      <c r="N73" s="31" t="s">
        <v>132</v>
      </c>
      <c r="O73" s="31"/>
      <c r="P73" s="32">
        <f>150000</f>
        <v>150000</v>
      </c>
      <c r="Q73" s="32"/>
      <c r="R73" s="32"/>
      <c r="S73" s="32">
        <f>109300</f>
        <v>109300</v>
      </c>
      <c r="T73" s="32"/>
      <c r="U73" s="32"/>
      <c r="V73" s="32"/>
      <c r="W73" s="33">
        <f>40700</f>
        <v>40700</v>
      </c>
      <c r="X73" s="33"/>
    </row>
    <row r="74" spans="1:24" s="1" customFormat="1" ht="14.1" customHeight="1" x14ac:dyDescent="0.2">
      <c r="A74" s="30" t="s">
        <v>94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85</v>
      </c>
      <c r="M74" s="31"/>
      <c r="N74" s="31" t="s">
        <v>133</v>
      </c>
      <c r="O74" s="31"/>
      <c r="P74" s="32">
        <f>15000</f>
        <v>15000</v>
      </c>
      <c r="Q74" s="32"/>
      <c r="R74" s="32"/>
      <c r="S74" s="34" t="s">
        <v>44</v>
      </c>
      <c r="T74" s="34"/>
      <c r="U74" s="34"/>
      <c r="V74" s="34"/>
      <c r="W74" s="33">
        <f>15000</f>
        <v>15000</v>
      </c>
      <c r="X74" s="33"/>
    </row>
    <row r="75" spans="1:24" s="1" customFormat="1" ht="14.1" customHeight="1" x14ac:dyDescent="0.2">
      <c r="A75" s="30" t="s">
        <v>94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85</v>
      </c>
      <c r="M75" s="31"/>
      <c r="N75" s="31" t="s">
        <v>134</v>
      </c>
      <c r="O75" s="31"/>
      <c r="P75" s="32">
        <f>20000</f>
        <v>20000</v>
      </c>
      <c r="Q75" s="32"/>
      <c r="R75" s="32"/>
      <c r="S75" s="32">
        <f>5711.2</f>
        <v>5711.2</v>
      </c>
      <c r="T75" s="32"/>
      <c r="U75" s="32"/>
      <c r="V75" s="32"/>
      <c r="W75" s="33">
        <f>14288.8</f>
        <v>14288.8</v>
      </c>
      <c r="X75" s="33"/>
    </row>
    <row r="76" spans="1:24" s="1" customFormat="1" ht="14.1" customHeight="1" x14ac:dyDescent="0.2">
      <c r="A76" s="30" t="s">
        <v>94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85</v>
      </c>
      <c r="M76" s="31"/>
      <c r="N76" s="31" t="s">
        <v>135</v>
      </c>
      <c r="O76" s="31"/>
      <c r="P76" s="32">
        <f>10000</f>
        <v>10000</v>
      </c>
      <c r="Q76" s="32"/>
      <c r="R76" s="32"/>
      <c r="S76" s="32">
        <f>5409</f>
        <v>5409</v>
      </c>
      <c r="T76" s="32"/>
      <c r="U76" s="32"/>
      <c r="V76" s="32"/>
      <c r="W76" s="33">
        <f>4591</f>
        <v>4591</v>
      </c>
      <c r="X76" s="33"/>
    </row>
    <row r="77" spans="1:24" s="1" customFormat="1" ht="14.1" customHeight="1" x14ac:dyDescent="0.2">
      <c r="A77" s="30" t="s">
        <v>94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85</v>
      </c>
      <c r="M77" s="31"/>
      <c r="N77" s="31" t="s">
        <v>136</v>
      </c>
      <c r="O77" s="31"/>
      <c r="P77" s="32">
        <f>3942800</f>
        <v>3942800</v>
      </c>
      <c r="Q77" s="32"/>
      <c r="R77" s="32"/>
      <c r="S77" s="32">
        <f>2279288</f>
        <v>2279288</v>
      </c>
      <c r="T77" s="32"/>
      <c r="U77" s="32"/>
      <c r="V77" s="32"/>
      <c r="W77" s="33">
        <f>1663512</f>
        <v>1663512</v>
      </c>
      <c r="X77" s="33"/>
    </row>
    <row r="78" spans="1:24" s="1" customFormat="1" ht="14.1" customHeight="1" x14ac:dyDescent="0.2">
      <c r="A78" s="30" t="s">
        <v>94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85</v>
      </c>
      <c r="M78" s="31"/>
      <c r="N78" s="31" t="s">
        <v>137</v>
      </c>
      <c r="O78" s="31"/>
      <c r="P78" s="32">
        <f>11982800</f>
        <v>11982800</v>
      </c>
      <c r="Q78" s="32"/>
      <c r="R78" s="32"/>
      <c r="S78" s="34" t="s">
        <v>44</v>
      </c>
      <c r="T78" s="34"/>
      <c r="U78" s="34"/>
      <c r="V78" s="34"/>
      <c r="W78" s="33">
        <f>11982800</f>
        <v>11982800</v>
      </c>
      <c r="X78" s="33"/>
    </row>
    <row r="79" spans="1:24" s="1" customFormat="1" ht="14.1" customHeight="1" x14ac:dyDescent="0.2">
      <c r="A79" s="30" t="s">
        <v>94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85</v>
      </c>
      <c r="M79" s="31"/>
      <c r="N79" s="31" t="s">
        <v>138</v>
      </c>
      <c r="O79" s="31"/>
      <c r="P79" s="32">
        <f>150000</f>
        <v>150000</v>
      </c>
      <c r="Q79" s="32"/>
      <c r="R79" s="32"/>
      <c r="S79" s="32">
        <f>8000</f>
        <v>8000</v>
      </c>
      <c r="T79" s="32"/>
      <c r="U79" s="32"/>
      <c r="V79" s="32"/>
      <c r="W79" s="33">
        <f>142000</f>
        <v>142000</v>
      </c>
      <c r="X79" s="33"/>
    </row>
    <row r="80" spans="1:24" s="1" customFormat="1" ht="14.1" customHeight="1" x14ac:dyDescent="0.2">
      <c r="A80" s="30" t="s">
        <v>94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85</v>
      </c>
      <c r="M80" s="31"/>
      <c r="N80" s="31" t="s">
        <v>139</v>
      </c>
      <c r="O80" s="31"/>
      <c r="P80" s="32">
        <f>60000</f>
        <v>60000</v>
      </c>
      <c r="Q80" s="32"/>
      <c r="R80" s="32"/>
      <c r="S80" s="32">
        <f>59586</f>
        <v>59586</v>
      </c>
      <c r="T80" s="32"/>
      <c r="U80" s="32"/>
      <c r="V80" s="32"/>
      <c r="W80" s="33">
        <f>414</f>
        <v>414</v>
      </c>
      <c r="X80" s="33"/>
    </row>
    <row r="81" spans="1:24" s="1" customFormat="1" ht="14.1" customHeight="1" x14ac:dyDescent="0.2">
      <c r="A81" s="30" t="s">
        <v>94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85</v>
      </c>
      <c r="M81" s="31"/>
      <c r="N81" s="31" t="s">
        <v>140</v>
      </c>
      <c r="O81" s="31"/>
      <c r="P81" s="32">
        <f>45000</f>
        <v>45000</v>
      </c>
      <c r="Q81" s="32"/>
      <c r="R81" s="32"/>
      <c r="S81" s="34" t="s">
        <v>44</v>
      </c>
      <c r="T81" s="34"/>
      <c r="U81" s="34"/>
      <c r="V81" s="34"/>
      <c r="W81" s="33">
        <f>45000</f>
        <v>45000</v>
      </c>
      <c r="X81" s="33"/>
    </row>
    <row r="82" spans="1:24" s="1" customFormat="1" ht="14.1" customHeight="1" x14ac:dyDescent="0.2">
      <c r="A82" s="30" t="s">
        <v>94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85</v>
      </c>
      <c r="M82" s="31"/>
      <c r="N82" s="31" t="s">
        <v>141</v>
      </c>
      <c r="O82" s="31"/>
      <c r="P82" s="32">
        <f>400000</f>
        <v>400000</v>
      </c>
      <c r="Q82" s="32"/>
      <c r="R82" s="32"/>
      <c r="S82" s="32">
        <f>199360</f>
        <v>199360</v>
      </c>
      <c r="T82" s="32"/>
      <c r="U82" s="32"/>
      <c r="V82" s="32"/>
      <c r="W82" s="33">
        <f>200640</f>
        <v>200640</v>
      </c>
      <c r="X82" s="33"/>
    </row>
    <row r="83" spans="1:24" s="1" customFormat="1" ht="14.1" customHeight="1" x14ac:dyDescent="0.2">
      <c r="A83" s="30" t="s">
        <v>94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85</v>
      </c>
      <c r="M83" s="31"/>
      <c r="N83" s="31" t="s">
        <v>142</v>
      </c>
      <c r="O83" s="31"/>
      <c r="P83" s="32">
        <f>200000</f>
        <v>200000</v>
      </c>
      <c r="Q83" s="32"/>
      <c r="R83" s="32"/>
      <c r="S83" s="32">
        <f>60001</f>
        <v>60001</v>
      </c>
      <c r="T83" s="32"/>
      <c r="U83" s="32"/>
      <c r="V83" s="32"/>
      <c r="W83" s="33">
        <f>139999</f>
        <v>139999</v>
      </c>
      <c r="X83" s="33"/>
    </row>
    <row r="84" spans="1:24" s="1" customFormat="1" ht="14.1" customHeight="1" x14ac:dyDescent="0.2">
      <c r="A84" s="30" t="s">
        <v>94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85</v>
      </c>
      <c r="M84" s="31"/>
      <c r="N84" s="31" t="s">
        <v>143</v>
      </c>
      <c r="O84" s="31"/>
      <c r="P84" s="32">
        <f>348000</f>
        <v>348000</v>
      </c>
      <c r="Q84" s="32"/>
      <c r="R84" s="32"/>
      <c r="S84" s="32">
        <f>195900</f>
        <v>195900</v>
      </c>
      <c r="T84" s="32"/>
      <c r="U84" s="32"/>
      <c r="V84" s="32"/>
      <c r="W84" s="33">
        <f>152100</f>
        <v>152100</v>
      </c>
      <c r="X84" s="33"/>
    </row>
    <row r="85" spans="1:24" s="1" customFormat="1" ht="14.1" customHeight="1" x14ac:dyDescent="0.2">
      <c r="A85" s="30" t="s">
        <v>94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85</v>
      </c>
      <c r="M85" s="31"/>
      <c r="N85" s="31" t="s">
        <v>144</v>
      </c>
      <c r="O85" s="31"/>
      <c r="P85" s="32">
        <f>2700000</f>
        <v>2700000</v>
      </c>
      <c r="Q85" s="32"/>
      <c r="R85" s="32"/>
      <c r="S85" s="32">
        <f>963963.66</f>
        <v>963963.66</v>
      </c>
      <c r="T85" s="32"/>
      <c r="U85" s="32"/>
      <c r="V85" s="32"/>
      <c r="W85" s="33">
        <f>1736036.34</f>
        <v>1736036.34</v>
      </c>
      <c r="X85" s="33"/>
    </row>
    <row r="86" spans="1:24" s="1" customFormat="1" ht="14.1" customHeight="1" x14ac:dyDescent="0.2">
      <c r="A86" s="30" t="s">
        <v>94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85</v>
      </c>
      <c r="M86" s="31"/>
      <c r="N86" s="31" t="s">
        <v>145</v>
      </c>
      <c r="O86" s="31"/>
      <c r="P86" s="32">
        <f>1100000</f>
        <v>1100000</v>
      </c>
      <c r="Q86" s="32"/>
      <c r="R86" s="32"/>
      <c r="S86" s="32">
        <f>620992</f>
        <v>620992</v>
      </c>
      <c r="T86" s="32"/>
      <c r="U86" s="32"/>
      <c r="V86" s="32"/>
      <c r="W86" s="33">
        <f>479008</f>
        <v>479008</v>
      </c>
      <c r="X86" s="33"/>
    </row>
    <row r="87" spans="1:24" s="1" customFormat="1" ht="14.1" customHeight="1" x14ac:dyDescent="0.2">
      <c r="A87" s="30" t="s">
        <v>94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85</v>
      </c>
      <c r="M87" s="31"/>
      <c r="N87" s="31" t="s">
        <v>146</v>
      </c>
      <c r="O87" s="31"/>
      <c r="P87" s="32">
        <f>828400</f>
        <v>828400</v>
      </c>
      <c r="Q87" s="32"/>
      <c r="R87" s="32"/>
      <c r="S87" s="32">
        <f>414511</f>
        <v>414511</v>
      </c>
      <c r="T87" s="32"/>
      <c r="U87" s="32"/>
      <c r="V87" s="32"/>
      <c r="W87" s="33">
        <f>413889</f>
        <v>413889</v>
      </c>
      <c r="X87" s="33"/>
    </row>
    <row r="88" spans="1:24" s="1" customFormat="1" ht="14.1" customHeight="1" x14ac:dyDescent="0.2">
      <c r="A88" s="30" t="s">
        <v>94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85</v>
      </c>
      <c r="M88" s="31"/>
      <c r="N88" s="31" t="s">
        <v>147</v>
      </c>
      <c r="O88" s="31"/>
      <c r="P88" s="32">
        <f>100000</f>
        <v>100000</v>
      </c>
      <c r="Q88" s="32"/>
      <c r="R88" s="32"/>
      <c r="S88" s="32">
        <f>1350</f>
        <v>1350</v>
      </c>
      <c r="T88" s="32"/>
      <c r="U88" s="32"/>
      <c r="V88" s="32"/>
      <c r="W88" s="33">
        <f>98650</f>
        <v>98650</v>
      </c>
      <c r="X88" s="33"/>
    </row>
    <row r="89" spans="1:24" s="1" customFormat="1" ht="14.1" customHeight="1" x14ac:dyDescent="0.2">
      <c r="A89" s="30" t="s">
        <v>94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85</v>
      </c>
      <c r="M89" s="31"/>
      <c r="N89" s="31" t="s">
        <v>148</v>
      </c>
      <c r="O89" s="31"/>
      <c r="P89" s="32">
        <f>1926200</f>
        <v>1926200</v>
      </c>
      <c r="Q89" s="32"/>
      <c r="R89" s="32"/>
      <c r="S89" s="32">
        <f>1227998.68</f>
        <v>1227998.68</v>
      </c>
      <c r="T89" s="32"/>
      <c r="U89" s="32"/>
      <c r="V89" s="32"/>
      <c r="W89" s="33">
        <f>698201.32</f>
        <v>698201.32</v>
      </c>
      <c r="X89" s="33"/>
    </row>
    <row r="90" spans="1:24" s="1" customFormat="1" ht="14.1" customHeight="1" x14ac:dyDescent="0.2">
      <c r="A90" s="30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85</v>
      </c>
      <c r="M90" s="31"/>
      <c r="N90" s="31" t="s">
        <v>149</v>
      </c>
      <c r="O90" s="31"/>
      <c r="P90" s="32">
        <f>450000</f>
        <v>450000</v>
      </c>
      <c r="Q90" s="32"/>
      <c r="R90" s="32"/>
      <c r="S90" s="32">
        <f>102000</f>
        <v>102000</v>
      </c>
      <c r="T90" s="32"/>
      <c r="U90" s="32"/>
      <c r="V90" s="32"/>
      <c r="W90" s="33">
        <f>348000</f>
        <v>348000</v>
      </c>
      <c r="X90" s="33"/>
    </row>
    <row r="91" spans="1:24" s="1" customFormat="1" ht="14.1" customHeight="1" x14ac:dyDescent="0.2">
      <c r="A91" s="30" t="s">
        <v>94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85</v>
      </c>
      <c r="M91" s="31"/>
      <c r="N91" s="31" t="s">
        <v>150</v>
      </c>
      <c r="O91" s="31"/>
      <c r="P91" s="32">
        <f>7000</f>
        <v>7000</v>
      </c>
      <c r="Q91" s="32"/>
      <c r="R91" s="32"/>
      <c r="S91" s="34" t="s">
        <v>44</v>
      </c>
      <c r="T91" s="34"/>
      <c r="U91" s="34"/>
      <c r="V91" s="34"/>
      <c r="W91" s="33">
        <f>7000</f>
        <v>7000</v>
      </c>
      <c r="X91" s="33"/>
    </row>
    <row r="92" spans="1:24" s="1" customFormat="1" ht="14.1" customHeight="1" x14ac:dyDescent="0.2">
      <c r="A92" s="30" t="s">
        <v>94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85</v>
      </c>
      <c r="M92" s="31"/>
      <c r="N92" s="31" t="s">
        <v>151</v>
      </c>
      <c r="O92" s="31"/>
      <c r="P92" s="32">
        <f>13000</f>
        <v>13000</v>
      </c>
      <c r="Q92" s="32"/>
      <c r="R92" s="32"/>
      <c r="S92" s="34" t="s">
        <v>44</v>
      </c>
      <c r="T92" s="34"/>
      <c r="U92" s="34"/>
      <c r="V92" s="34"/>
      <c r="W92" s="33">
        <f>13000</f>
        <v>13000</v>
      </c>
      <c r="X92" s="33"/>
    </row>
    <row r="93" spans="1:24" s="1" customFormat="1" ht="14.1" customHeight="1" x14ac:dyDescent="0.2">
      <c r="A93" s="30" t="s">
        <v>152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85</v>
      </c>
      <c r="M93" s="31"/>
      <c r="N93" s="31" t="s">
        <v>153</v>
      </c>
      <c r="O93" s="31"/>
      <c r="P93" s="32">
        <f>150000</f>
        <v>150000</v>
      </c>
      <c r="Q93" s="32"/>
      <c r="R93" s="32"/>
      <c r="S93" s="34" t="s">
        <v>44</v>
      </c>
      <c r="T93" s="34"/>
      <c r="U93" s="34"/>
      <c r="V93" s="34"/>
      <c r="W93" s="33">
        <f>150000</f>
        <v>150000</v>
      </c>
      <c r="X93" s="33"/>
    </row>
    <row r="94" spans="1:24" s="1" customFormat="1" ht="14.1" customHeight="1" x14ac:dyDescent="0.2">
      <c r="A94" s="30" t="s">
        <v>152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85</v>
      </c>
      <c r="M94" s="31"/>
      <c r="N94" s="31" t="s">
        <v>154</v>
      </c>
      <c r="O94" s="31"/>
      <c r="P94" s="32">
        <f>15000</f>
        <v>15000</v>
      </c>
      <c r="Q94" s="32"/>
      <c r="R94" s="32"/>
      <c r="S94" s="32">
        <f>8151.12</f>
        <v>8151.12</v>
      </c>
      <c r="T94" s="32"/>
      <c r="U94" s="32"/>
      <c r="V94" s="32"/>
      <c r="W94" s="33">
        <f>6848.88</f>
        <v>6848.88</v>
      </c>
      <c r="X94" s="33"/>
    </row>
    <row r="95" spans="1:24" s="1" customFormat="1" ht="33.950000000000003" customHeight="1" x14ac:dyDescent="0.2">
      <c r="A95" s="30" t="s">
        <v>155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85</v>
      </c>
      <c r="M95" s="31"/>
      <c r="N95" s="31" t="s">
        <v>156</v>
      </c>
      <c r="O95" s="31"/>
      <c r="P95" s="32">
        <f>4575500</f>
        <v>4575500</v>
      </c>
      <c r="Q95" s="32"/>
      <c r="R95" s="32"/>
      <c r="S95" s="32">
        <f>2930669.12</f>
        <v>2930669.12</v>
      </c>
      <c r="T95" s="32"/>
      <c r="U95" s="32"/>
      <c r="V95" s="32"/>
      <c r="W95" s="33">
        <f>1644830.88</f>
        <v>1644830.88</v>
      </c>
      <c r="X95" s="33"/>
    </row>
    <row r="96" spans="1:24" s="1" customFormat="1" ht="14.1" customHeight="1" x14ac:dyDescent="0.2">
      <c r="A96" s="30" t="s">
        <v>152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85</v>
      </c>
      <c r="M96" s="31"/>
      <c r="N96" s="31" t="s">
        <v>157</v>
      </c>
      <c r="O96" s="31"/>
      <c r="P96" s="32">
        <f>100000</f>
        <v>100000</v>
      </c>
      <c r="Q96" s="32"/>
      <c r="R96" s="32"/>
      <c r="S96" s="32">
        <f>76400</f>
        <v>76400</v>
      </c>
      <c r="T96" s="32"/>
      <c r="U96" s="32"/>
      <c r="V96" s="32"/>
      <c r="W96" s="33">
        <f>23600</f>
        <v>23600</v>
      </c>
      <c r="X96" s="33"/>
    </row>
    <row r="97" spans="1:24" s="1" customFormat="1" ht="14.1" customHeight="1" x14ac:dyDescent="0.2">
      <c r="A97" s="30" t="s">
        <v>152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85</v>
      </c>
      <c r="M97" s="31"/>
      <c r="N97" s="31" t="s">
        <v>158</v>
      </c>
      <c r="O97" s="31"/>
      <c r="P97" s="32">
        <f>0</f>
        <v>0</v>
      </c>
      <c r="Q97" s="32"/>
      <c r="R97" s="32"/>
      <c r="S97" s="34" t="s">
        <v>44</v>
      </c>
      <c r="T97" s="34"/>
      <c r="U97" s="34"/>
      <c r="V97" s="34"/>
      <c r="W97" s="35" t="s">
        <v>44</v>
      </c>
      <c r="X97" s="35"/>
    </row>
    <row r="98" spans="1:24" s="1" customFormat="1" ht="33.950000000000003" customHeight="1" x14ac:dyDescent="0.2">
      <c r="A98" s="30" t="s">
        <v>155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85</v>
      </c>
      <c r="M98" s="31"/>
      <c r="N98" s="31" t="s">
        <v>159</v>
      </c>
      <c r="O98" s="31"/>
      <c r="P98" s="32">
        <f>0</f>
        <v>0</v>
      </c>
      <c r="Q98" s="32"/>
      <c r="R98" s="32"/>
      <c r="S98" s="34" t="s">
        <v>44</v>
      </c>
      <c r="T98" s="34"/>
      <c r="U98" s="34"/>
      <c r="V98" s="34"/>
      <c r="W98" s="35" t="s">
        <v>44</v>
      </c>
      <c r="X98" s="35"/>
    </row>
    <row r="99" spans="1:24" s="1" customFormat="1" ht="14.1" customHeight="1" x14ac:dyDescent="0.2">
      <c r="A99" s="30" t="s">
        <v>152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85</v>
      </c>
      <c r="M99" s="31"/>
      <c r="N99" s="31" t="s">
        <v>160</v>
      </c>
      <c r="O99" s="31"/>
      <c r="P99" s="32">
        <f>4229300</f>
        <v>4229300</v>
      </c>
      <c r="Q99" s="32"/>
      <c r="R99" s="32"/>
      <c r="S99" s="32">
        <f>1830306.71</f>
        <v>1830306.71</v>
      </c>
      <c r="T99" s="32"/>
      <c r="U99" s="32"/>
      <c r="V99" s="32"/>
      <c r="W99" s="33">
        <f>2398993.29</f>
        <v>2398993.29</v>
      </c>
      <c r="X99" s="33"/>
    </row>
    <row r="100" spans="1:24" s="1" customFormat="1" ht="14.1" customHeight="1" x14ac:dyDescent="0.2">
      <c r="A100" s="30" t="s">
        <v>152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85</v>
      </c>
      <c r="M100" s="31"/>
      <c r="N100" s="31" t="s">
        <v>161</v>
      </c>
      <c r="O100" s="31"/>
      <c r="P100" s="32">
        <f>15000</f>
        <v>15000</v>
      </c>
      <c r="Q100" s="32"/>
      <c r="R100" s="32"/>
      <c r="S100" s="32">
        <f>1557.27</f>
        <v>1557.27</v>
      </c>
      <c r="T100" s="32"/>
      <c r="U100" s="32"/>
      <c r="V100" s="32"/>
      <c r="W100" s="33">
        <f>13442.73</f>
        <v>13442.73</v>
      </c>
      <c r="X100" s="33"/>
    </row>
    <row r="101" spans="1:24" s="1" customFormat="1" ht="33.950000000000003" customHeight="1" x14ac:dyDescent="0.2">
      <c r="A101" s="30" t="s">
        <v>155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85</v>
      </c>
      <c r="M101" s="31"/>
      <c r="N101" s="31" t="s">
        <v>162</v>
      </c>
      <c r="O101" s="31"/>
      <c r="P101" s="32">
        <f>572900</f>
        <v>572900</v>
      </c>
      <c r="Q101" s="32"/>
      <c r="R101" s="32"/>
      <c r="S101" s="32">
        <f>222751.53</f>
        <v>222751.53</v>
      </c>
      <c r="T101" s="32"/>
      <c r="U101" s="32"/>
      <c r="V101" s="32"/>
      <c r="W101" s="33">
        <f>350148.47</f>
        <v>350148.47</v>
      </c>
      <c r="X101" s="33"/>
    </row>
    <row r="102" spans="1:24" s="1" customFormat="1" ht="14.1" customHeight="1" x14ac:dyDescent="0.2">
      <c r="A102" s="30" t="s">
        <v>152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85</v>
      </c>
      <c r="M102" s="31"/>
      <c r="N102" s="31" t="s">
        <v>163</v>
      </c>
      <c r="O102" s="31"/>
      <c r="P102" s="32">
        <f>10000</f>
        <v>10000</v>
      </c>
      <c r="Q102" s="32"/>
      <c r="R102" s="32"/>
      <c r="S102" s="34" t="s">
        <v>44</v>
      </c>
      <c r="T102" s="34"/>
      <c r="U102" s="34"/>
      <c r="V102" s="34"/>
      <c r="W102" s="33">
        <f>10000</f>
        <v>10000</v>
      </c>
      <c r="X102" s="33"/>
    </row>
    <row r="103" spans="1:24" s="1" customFormat="1" ht="14.1" customHeight="1" x14ac:dyDescent="0.2">
      <c r="A103" s="30" t="s">
        <v>152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85</v>
      </c>
      <c r="M103" s="31"/>
      <c r="N103" s="31" t="s">
        <v>164</v>
      </c>
      <c r="O103" s="31"/>
      <c r="P103" s="32">
        <f>0</f>
        <v>0</v>
      </c>
      <c r="Q103" s="32"/>
      <c r="R103" s="32"/>
      <c r="S103" s="32">
        <f>0</f>
        <v>0</v>
      </c>
      <c r="T103" s="32"/>
      <c r="U103" s="32"/>
      <c r="V103" s="32"/>
      <c r="W103" s="35" t="s">
        <v>44</v>
      </c>
      <c r="X103" s="35"/>
    </row>
    <row r="104" spans="1:24" s="1" customFormat="1" ht="33.950000000000003" customHeight="1" x14ac:dyDescent="0.2">
      <c r="A104" s="30" t="s">
        <v>155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85</v>
      </c>
      <c r="M104" s="31"/>
      <c r="N104" s="31" t="s">
        <v>165</v>
      </c>
      <c r="O104" s="31"/>
      <c r="P104" s="32">
        <f>0</f>
        <v>0</v>
      </c>
      <c r="Q104" s="32"/>
      <c r="R104" s="32"/>
      <c r="S104" s="34" t="s">
        <v>44</v>
      </c>
      <c r="T104" s="34"/>
      <c r="U104" s="34"/>
      <c r="V104" s="34"/>
      <c r="W104" s="35" t="s">
        <v>44</v>
      </c>
      <c r="X104" s="35"/>
    </row>
    <row r="105" spans="1:24" s="1" customFormat="1" ht="14.1" customHeight="1" x14ac:dyDescent="0.2">
      <c r="A105" s="30" t="s">
        <v>152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85</v>
      </c>
      <c r="M105" s="31"/>
      <c r="N105" s="31" t="s">
        <v>166</v>
      </c>
      <c r="O105" s="31"/>
      <c r="P105" s="32">
        <f>870600</f>
        <v>870600</v>
      </c>
      <c r="Q105" s="32"/>
      <c r="R105" s="32"/>
      <c r="S105" s="32">
        <f>442750.73</f>
        <v>442750.73</v>
      </c>
      <c r="T105" s="32"/>
      <c r="U105" s="32"/>
      <c r="V105" s="32"/>
      <c r="W105" s="33">
        <f>427849.27</f>
        <v>427849.27</v>
      </c>
      <c r="X105" s="33"/>
    </row>
    <row r="106" spans="1:24" s="1" customFormat="1" ht="14.1" customHeight="1" x14ac:dyDescent="0.2">
      <c r="A106" s="30" t="s">
        <v>94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85</v>
      </c>
      <c r="M106" s="31"/>
      <c r="N106" s="31" t="s">
        <v>167</v>
      </c>
      <c r="O106" s="31"/>
      <c r="P106" s="32">
        <f>60000</f>
        <v>60000</v>
      </c>
      <c r="Q106" s="32"/>
      <c r="R106" s="32"/>
      <c r="S106" s="34" t="s">
        <v>44</v>
      </c>
      <c r="T106" s="34"/>
      <c r="U106" s="34"/>
      <c r="V106" s="34"/>
      <c r="W106" s="33">
        <f>60000</f>
        <v>60000</v>
      </c>
      <c r="X106" s="33"/>
    </row>
    <row r="107" spans="1:24" s="1" customFormat="1" ht="24" customHeight="1" x14ac:dyDescent="0.2">
      <c r="A107" s="30" t="s">
        <v>168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85</v>
      </c>
      <c r="M107" s="31"/>
      <c r="N107" s="31" t="s">
        <v>169</v>
      </c>
      <c r="O107" s="31"/>
      <c r="P107" s="32">
        <f>220000</f>
        <v>220000</v>
      </c>
      <c r="Q107" s="32"/>
      <c r="R107" s="32"/>
      <c r="S107" s="32">
        <f>99775.02</f>
        <v>99775.02</v>
      </c>
      <c r="T107" s="32"/>
      <c r="U107" s="32"/>
      <c r="V107" s="32"/>
      <c r="W107" s="33">
        <f>120224.98</f>
        <v>120224.98</v>
      </c>
      <c r="X107" s="33"/>
    </row>
    <row r="108" spans="1:24" s="1" customFormat="1" ht="24" customHeight="1" x14ac:dyDescent="0.2">
      <c r="A108" s="30" t="s">
        <v>168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85</v>
      </c>
      <c r="M108" s="31"/>
      <c r="N108" s="31" t="s">
        <v>170</v>
      </c>
      <c r="O108" s="31"/>
      <c r="P108" s="32">
        <f>20000</f>
        <v>20000</v>
      </c>
      <c r="Q108" s="32"/>
      <c r="R108" s="32"/>
      <c r="S108" s="34" t="s">
        <v>44</v>
      </c>
      <c r="T108" s="34"/>
      <c r="U108" s="34"/>
      <c r="V108" s="34"/>
      <c r="W108" s="33">
        <f>20000</f>
        <v>20000</v>
      </c>
      <c r="X108" s="33"/>
    </row>
    <row r="109" spans="1:24" s="1" customFormat="1" ht="14.1" customHeight="1" x14ac:dyDescent="0.2">
      <c r="A109" s="30" t="s">
        <v>94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85</v>
      </c>
      <c r="M109" s="31"/>
      <c r="N109" s="31" t="s">
        <v>171</v>
      </c>
      <c r="O109" s="31"/>
      <c r="P109" s="32">
        <f>30000</f>
        <v>30000</v>
      </c>
      <c r="Q109" s="32"/>
      <c r="R109" s="32"/>
      <c r="S109" s="34" t="s">
        <v>44</v>
      </c>
      <c r="T109" s="34"/>
      <c r="U109" s="34"/>
      <c r="V109" s="34"/>
      <c r="W109" s="33">
        <f>30000</f>
        <v>30000</v>
      </c>
      <c r="X109" s="33"/>
    </row>
    <row r="110" spans="1:24" s="1" customFormat="1" ht="15" customHeight="1" x14ac:dyDescent="0.2">
      <c r="A110" s="36" t="s">
        <v>172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7" t="s">
        <v>173</v>
      </c>
      <c r="M110" s="37"/>
      <c r="N110" s="37" t="s">
        <v>35</v>
      </c>
      <c r="O110" s="37"/>
      <c r="P110" s="38">
        <f>-4000000</f>
        <v>-4000000</v>
      </c>
      <c r="Q110" s="38"/>
      <c r="R110" s="38"/>
      <c r="S110" s="38">
        <f>-1053538.34</f>
        <v>-1053538.3400000001</v>
      </c>
      <c r="T110" s="38"/>
      <c r="U110" s="38"/>
      <c r="V110" s="38"/>
      <c r="W110" s="39" t="s">
        <v>35</v>
      </c>
      <c r="X110" s="39"/>
    </row>
    <row r="111" spans="1:24" s="1" customFormat="1" ht="14.1" customHeight="1" x14ac:dyDescent="0.2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s="1" customFormat="1" ht="14.1" customHeight="1" x14ac:dyDescent="0.2">
      <c r="A112" s="12" t="s">
        <v>174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s="1" customFormat="1" ht="45.95" customHeight="1" x14ac:dyDescent="0.2">
      <c r="A113" s="13" t="s">
        <v>21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 t="s">
        <v>22</v>
      </c>
      <c r="M113" s="13"/>
      <c r="N113" s="13" t="s">
        <v>175</v>
      </c>
      <c r="O113" s="13"/>
      <c r="P113" s="14" t="s">
        <v>24</v>
      </c>
      <c r="Q113" s="14"/>
      <c r="R113" s="14"/>
      <c r="S113" s="14" t="s">
        <v>25</v>
      </c>
      <c r="T113" s="14"/>
      <c r="U113" s="14"/>
      <c r="V113" s="14"/>
      <c r="W113" s="15" t="s">
        <v>26</v>
      </c>
      <c r="X113" s="15"/>
    </row>
    <row r="114" spans="1:24" s="1" customFormat="1" ht="12.95" customHeight="1" x14ac:dyDescent="0.2">
      <c r="A114" s="16" t="s">
        <v>27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 t="s">
        <v>28</v>
      </c>
      <c r="M114" s="16"/>
      <c r="N114" s="16" t="s">
        <v>29</v>
      </c>
      <c r="O114" s="16"/>
      <c r="P114" s="17" t="s">
        <v>30</v>
      </c>
      <c r="Q114" s="17"/>
      <c r="R114" s="17"/>
      <c r="S114" s="17" t="s">
        <v>31</v>
      </c>
      <c r="T114" s="17"/>
      <c r="U114" s="17"/>
      <c r="V114" s="17"/>
      <c r="W114" s="18" t="s">
        <v>32</v>
      </c>
      <c r="X114" s="18"/>
    </row>
    <row r="115" spans="1:24" s="1" customFormat="1" ht="14.1" customHeight="1" x14ac:dyDescent="0.2">
      <c r="A115" s="19" t="s">
        <v>176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0" t="s">
        <v>177</v>
      </c>
      <c r="M115" s="20"/>
      <c r="N115" s="20" t="s">
        <v>35</v>
      </c>
      <c r="O115" s="20"/>
      <c r="P115" s="40">
        <f>4000000</f>
        <v>4000000</v>
      </c>
      <c r="Q115" s="40"/>
      <c r="R115" s="40"/>
      <c r="S115" s="21">
        <f>1053538.34</f>
        <v>1053538.3400000001</v>
      </c>
      <c r="T115" s="21"/>
      <c r="U115" s="21"/>
      <c r="V115" s="21"/>
      <c r="W115" s="41" t="s">
        <v>35</v>
      </c>
      <c r="X115" s="41"/>
    </row>
    <row r="116" spans="1:24" s="1" customFormat="1" ht="14.1" customHeight="1" x14ac:dyDescent="0.2">
      <c r="A116" s="42" t="s">
        <v>178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3" t="s">
        <v>10</v>
      </c>
      <c r="M116" s="43"/>
      <c r="N116" s="43" t="s">
        <v>10</v>
      </c>
      <c r="O116" s="43"/>
      <c r="P116" s="44" t="s">
        <v>10</v>
      </c>
      <c r="Q116" s="44"/>
      <c r="R116" s="44"/>
      <c r="S116" s="45" t="s">
        <v>10</v>
      </c>
      <c r="T116" s="45"/>
      <c r="U116" s="45"/>
      <c r="V116" s="45"/>
      <c r="W116" s="46" t="s">
        <v>10</v>
      </c>
      <c r="X116" s="46"/>
    </row>
    <row r="117" spans="1:24" s="1" customFormat="1" ht="14.1" customHeight="1" x14ac:dyDescent="0.2">
      <c r="A117" s="23" t="s">
        <v>179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47" t="s">
        <v>180</v>
      </c>
      <c r="M117" s="47"/>
      <c r="N117" s="24" t="s">
        <v>35</v>
      </c>
      <c r="O117" s="24"/>
      <c r="P117" s="48" t="s">
        <v>44</v>
      </c>
      <c r="Q117" s="48"/>
      <c r="R117" s="48"/>
      <c r="S117" s="28" t="s">
        <v>44</v>
      </c>
      <c r="T117" s="28"/>
      <c r="U117" s="28"/>
      <c r="V117" s="28"/>
      <c r="W117" s="49" t="s">
        <v>44</v>
      </c>
      <c r="X117" s="49"/>
    </row>
    <row r="118" spans="1:24" s="1" customFormat="1" ht="14.1" customHeight="1" x14ac:dyDescent="0.2">
      <c r="A118" s="30" t="s">
        <v>10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180</v>
      </c>
      <c r="M118" s="31"/>
      <c r="N118" s="31" t="s">
        <v>10</v>
      </c>
      <c r="O118" s="31"/>
      <c r="P118" s="50" t="s">
        <v>44</v>
      </c>
      <c r="Q118" s="50"/>
      <c r="R118" s="50"/>
      <c r="S118" s="34" t="s">
        <v>44</v>
      </c>
      <c r="T118" s="34"/>
      <c r="U118" s="34"/>
      <c r="V118" s="34"/>
      <c r="W118" s="51" t="s">
        <v>44</v>
      </c>
      <c r="X118" s="51"/>
    </row>
    <row r="119" spans="1:24" s="1" customFormat="1" ht="14.1" customHeight="1" x14ac:dyDescent="0.2">
      <c r="A119" s="30" t="s">
        <v>181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43" t="s">
        <v>182</v>
      </c>
      <c r="M119" s="43"/>
      <c r="N119" s="43" t="s">
        <v>35</v>
      </c>
      <c r="O119" s="43"/>
      <c r="P119" s="44" t="s">
        <v>44</v>
      </c>
      <c r="Q119" s="44"/>
      <c r="R119" s="44"/>
      <c r="S119" s="34" t="s">
        <v>44</v>
      </c>
      <c r="T119" s="34"/>
      <c r="U119" s="34"/>
      <c r="V119" s="34"/>
      <c r="W119" s="46" t="s">
        <v>44</v>
      </c>
      <c r="X119" s="46"/>
    </row>
    <row r="120" spans="1:24" s="1" customFormat="1" ht="14.1" customHeight="1" x14ac:dyDescent="0.2">
      <c r="A120" s="30" t="s">
        <v>10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182</v>
      </c>
      <c r="M120" s="31"/>
      <c r="N120" s="31" t="s">
        <v>10</v>
      </c>
      <c r="O120" s="31"/>
      <c r="P120" s="50" t="s">
        <v>44</v>
      </c>
      <c r="Q120" s="50"/>
      <c r="R120" s="50"/>
      <c r="S120" s="34" t="s">
        <v>44</v>
      </c>
      <c r="T120" s="34"/>
      <c r="U120" s="34"/>
      <c r="V120" s="34"/>
      <c r="W120" s="51" t="s">
        <v>44</v>
      </c>
      <c r="X120" s="51"/>
    </row>
    <row r="121" spans="1:24" s="1" customFormat="1" ht="14.1" customHeight="1" x14ac:dyDescent="0.2">
      <c r="A121" s="30" t="s">
        <v>183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184</v>
      </c>
      <c r="M121" s="31"/>
      <c r="N121" s="31" t="s">
        <v>185</v>
      </c>
      <c r="O121" s="31"/>
      <c r="P121" s="52">
        <f>4000000</f>
        <v>4000000</v>
      </c>
      <c r="Q121" s="52"/>
      <c r="R121" s="52"/>
      <c r="S121" s="32">
        <f>1053538.34</f>
        <v>1053538.3400000001</v>
      </c>
      <c r="T121" s="32"/>
      <c r="U121" s="32"/>
      <c r="V121" s="32"/>
      <c r="W121" s="53">
        <f>2946461.66</f>
        <v>2946461.66</v>
      </c>
      <c r="X121" s="53"/>
    </row>
    <row r="122" spans="1:24" s="1" customFormat="1" ht="14.1" customHeight="1" x14ac:dyDescent="0.2">
      <c r="A122" s="30" t="s">
        <v>186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187</v>
      </c>
      <c r="M122" s="31"/>
      <c r="N122" s="31" t="s">
        <v>188</v>
      </c>
      <c r="O122" s="31"/>
      <c r="P122" s="52">
        <f>-40946000</f>
        <v>-40946000</v>
      </c>
      <c r="Q122" s="52"/>
      <c r="R122" s="52"/>
      <c r="S122" s="32">
        <f>-15141899.07</f>
        <v>-15141899.07</v>
      </c>
      <c r="T122" s="32"/>
      <c r="U122" s="32"/>
      <c r="V122" s="32"/>
      <c r="W122" s="54" t="s">
        <v>35</v>
      </c>
      <c r="X122" s="54"/>
    </row>
    <row r="123" spans="1:24" s="1" customFormat="1" ht="14.1" customHeight="1" x14ac:dyDescent="0.2">
      <c r="A123" s="30" t="s">
        <v>189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190</v>
      </c>
      <c r="M123" s="31"/>
      <c r="N123" s="31" t="s">
        <v>191</v>
      </c>
      <c r="O123" s="31"/>
      <c r="P123" s="52">
        <f>44946000</f>
        <v>44946000</v>
      </c>
      <c r="Q123" s="52"/>
      <c r="R123" s="52"/>
      <c r="S123" s="32">
        <f>16195437.41</f>
        <v>16195437.41</v>
      </c>
      <c r="T123" s="32"/>
      <c r="U123" s="32"/>
      <c r="V123" s="32"/>
      <c r="W123" s="54" t="s">
        <v>35</v>
      </c>
      <c r="X123" s="54"/>
    </row>
    <row r="124" spans="1:24" s="1" customFormat="1" ht="14.1" customHeight="1" x14ac:dyDescent="0.2">
      <c r="A124" s="56" t="s">
        <v>10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</row>
    <row r="125" spans="1:24" s="1" customFormat="1" ht="8.1" customHeight="1" x14ac:dyDescent="0.2">
      <c r="A125" s="7" t="s">
        <v>10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s="1" customFormat="1" ht="14.1" customHeight="1" x14ac:dyDescent="0.2">
      <c r="A126" s="7" t="s">
        <v>192</v>
      </c>
      <c r="B126" s="7"/>
      <c r="C126" s="7"/>
      <c r="D126" s="7"/>
      <c r="E126" s="7"/>
      <c r="F126" s="7"/>
      <c r="G126" s="7"/>
      <c r="H126" s="7"/>
      <c r="I126" s="55" t="s">
        <v>10</v>
      </c>
      <c r="J126" s="55"/>
      <c r="K126" s="55"/>
      <c r="L126" s="55"/>
      <c r="M126" s="55"/>
      <c r="N126" s="55" t="s">
        <v>193</v>
      </c>
      <c r="O126" s="55"/>
      <c r="P126" s="55"/>
      <c r="Q126" s="55"/>
      <c r="R126" s="7" t="s">
        <v>10</v>
      </c>
      <c r="S126" s="7"/>
      <c r="T126" s="7"/>
      <c r="U126" s="7"/>
      <c r="V126" s="7"/>
      <c r="W126" s="7"/>
      <c r="X126" s="7"/>
    </row>
    <row r="127" spans="1:24" s="1" customFormat="1" ht="14.1" customHeight="1" x14ac:dyDescent="0.2">
      <c r="A127" s="7" t="s">
        <v>10</v>
      </c>
      <c r="B127" s="7"/>
      <c r="C127" s="7"/>
      <c r="D127" s="7"/>
      <c r="E127" s="7"/>
      <c r="F127" s="7"/>
      <c r="G127" s="7"/>
      <c r="H127" s="7"/>
      <c r="I127" s="10" t="s">
        <v>10</v>
      </c>
      <c r="J127" s="57" t="s">
        <v>194</v>
      </c>
      <c r="K127" s="57"/>
      <c r="L127" s="57"/>
      <c r="M127" s="10" t="s">
        <v>10</v>
      </c>
      <c r="N127" s="10" t="s">
        <v>10</v>
      </c>
      <c r="O127" s="57" t="s">
        <v>195</v>
      </c>
      <c r="P127" s="57"/>
      <c r="Q127" s="7" t="s">
        <v>10</v>
      </c>
      <c r="R127" s="7"/>
      <c r="S127" s="7"/>
      <c r="T127" s="7"/>
      <c r="U127" s="7"/>
      <c r="V127" s="7"/>
      <c r="W127" s="7"/>
      <c r="X127" s="7"/>
    </row>
    <row r="128" spans="1:24" s="1" customFormat="1" ht="8.1" customHeight="1" x14ac:dyDescent="0.2">
      <c r="A128" s="7" t="s">
        <v>10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24" customHeight="1" x14ac:dyDescent="0.2">
      <c r="A129" s="7" t="s">
        <v>196</v>
      </c>
      <c r="B129" s="7"/>
      <c r="C129" s="55" t="s">
        <v>197</v>
      </c>
      <c r="D129" s="55"/>
      <c r="E129" s="55"/>
      <c r="F129" s="55"/>
      <c r="G129" s="55"/>
      <c r="H129" s="55"/>
      <c r="I129" s="55" t="s">
        <v>10</v>
      </c>
      <c r="J129" s="55"/>
      <c r="K129" s="55"/>
      <c r="L129" s="55"/>
      <c r="M129" s="55"/>
      <c r="N129" s="55" t="s">
        <v>198</v>
      </c>
      <c r="O129" s="55"/>
      <c r="P129" s="55"/>
      <c r="Q129" s="55"/>
      <c r="R129" s="7" t="s">
        <v>10</v>
      </c>
      <c r="S129" s="7"/>
      <c r="T129" s="7"/>
      <c r="U129" s="7"/>
      <c r="V129" s="7"/>
      <c r="W129" s="7"/>
      <c r="X129" s="7"/>
    </row>
    <row r="130" spans="1:24" s="1" customFormat="1" ht="14.1" customHeight="1" x14ac:dyDescent="0.2">
      <c r="A130" s="7" t="s">
        <v>10</v>
      </c>
      <c r="B130" s="7"/>
      <c r="C130" s="10" t="s">
        <v>10</v>
      </c>
      <c r="D130" s="57" t="s">
        <v>199</v>
      </c>
      <c r="E130" s="57"/>
      <c r="F130" s="57"/>
      <c r="G130" s="57"/>
      <c r="H130" s="10" t="s">
        <v>10</v>
      </c>
      <c r="I130" s="10" t="s">
        <v>10</v>
      </c>
      <c r="J130" s="57" t="s">
        <v>194</v>
      </c>
      <c r="K130" s="57"/>
      <c r="L130" s="57"/>
      <c r="M130" s="10" t="s">
        <v>10</v>
      </c>
      <c r="N130" s="10" t="s">
        <v>10</v>
      </c>
      <c r="O130" s="57" t="s">
        <v>195</v>
      </c>
      <c r="P130" s="57"/>
      <c r="Q130" s="7" t="s">
        <v>10</v>
      </c>
      <c r="R130" s="7"/>
      <c r="S130" s="7"/>
      <c r="T130" s="7"/>
      <c r="U130" s="7"/>
      <c r="V130" s="7"/>
      <c r="W130" s="7"/>
      <c r="X130" s="7"/>
    </row>
    <row r="131" spans="1:24" s="1" customFormat="1" ht="15.95" customHeight="1" x14ac:dyDescent="0.2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s="1" customFormat="1" ht="14.1" customHeight="1" x14ac:dyDescent="0.2">
      <c r="A132" s="58" t="s">
        <v>200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7" t="s">
        <v>10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s="1" customFormat="1" ht="14.1" customHeight="1" x14ac:dyDescent="0.2">
      <c r="A133" s="4" t="s">
        <v>201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</sheetData>
  <mergeCells count="705">
    <mergeCell ref="A132:J132"/>
    <mergeCell ref="K132:X132"/>
    <mergeCell ref="A133:X133"/>
    <mergeCell ref="A130:B130"/>
    <mergeCell ref="D130:G130"/>
    <mergeCell ref="J130:L130"/>
    <mergeCell ref="O130:P130"/>
    <mergeCell ref="Q130:X130"/>
    <mergeCell ref="A131:X131"/>
    <mergeCell ref="A127:H127"/>
    <mergeCell ref="J127:L127"/>
    <mergeCell ref="O127:P127"/>
    <mergeCell ref="Q127:X127"/>
    <mergeCell ref="A128:X128"/>
    <mergeCell ref="A129:B129"/>
    <mergeCell ref="C129:H129"/>
    <mergeCell ref="I129:M129"/>
    <mergeCell ref="N129:Q129"/>
    <mergeCell ref="R129:X129"/>
    <mergeCell ref="A124:X124"/>
    <mergeCell ref="A125:X125"/>
    <mergeCell ref="A126:H126"/>
    <mergeCell ref="I126:M126"/>
    <mergeCell ref="N126:Q126"/>
    <mergeCell ref="R126:X126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1:X111"/>
    <mergeCell ref="A112:X112"/>
    <mergeCell ref="A113:K113"/>
    <mergeCell ref="L113:M113"/>
    <mergeCell ref="N113:O113"/>
    <mergeCell ref="P113:R113"/>
    <mergeCell ref="S113:V113"/>
    <mergeCell ref="W113:X113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6" max="16383" man="1"/>
    <brk id="111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Елена</cp:lastModifiedBy>
  <dcterms:created xsi:type="dcterms:W3CDTF">2018-10-26T11:00:43Z</dcterms:created>
  <dcterms:modified xsi:type="dcterms:W3CDTF">2018-10-26T11:00:43Z</dcterms:modified>
</cp:coreProperties>
</file>